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<sst xmlns="http://schemas.openxmlformats.org/spreadsheetml/2006/main" count="4108" uniqueCount="3083">
  <si>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</si>
  <si>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</si>
  <si>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</si>
  <si>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</si>
  <si>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</si>
  <si>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</si>
  <si>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</si>
  <si>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</si>
  <si>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</si>
  <si>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</si>
  <si>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</si>
  <si>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</si>
  <si>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</si>
  <si>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</si>
  <si>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</si>
  <si>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</si>
  <si>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</si>
  <si>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</si>
  <si>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</si>
  <si>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</si>
  <si>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</si>
  <si>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</si>
  <si>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</si>
  <si>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</si>
  <si>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</si>
  <si>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</si>
  <si>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</si>
  <si>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</si>
  <si>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</si>
  <si>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</si>
  <si>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</si>
  <si>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</si>
  <si>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</si>
  <si>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</si>
  <si>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</si>
  <si>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</si>
  <si>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</si>
  <si>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</si>
  <si>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</si>
  <si>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</si>
  <si>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</si>
  <si>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</si>
  <si>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</si>
  <si>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</si>
  <si>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</si>
  <si>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</si>
  <si>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</si>
  <si>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</si>
  <si>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</si>
  <si>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</si>
  <si>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</si>
  <si>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</si>
  <si>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</si>
  <si>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</si>
  <si>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</si>
  <si>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</si>
  <si>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</si>
  <si>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</si>
  <si>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</si>
  <si>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</si>
  <si>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</si>
  <si>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</si>
  <si>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</si>
  <si>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</si>
  <si>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</si>
  <si>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</si>
  <si>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</si>
  <si>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</si>
  <si>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</si>
  <si>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</si>
  <si>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</si>
  <si>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</si>
  <si>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</si>
  <si>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</si>
  <si>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</si>
  <si>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</si>
  <si>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</si>
  <si>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</si>
  <si>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</si>
  <si>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</si>
  <si>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</si>
  <si>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</si>
  <si>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</si>
  <si>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</si>
  <si>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</si>
  <si>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</si>
  <si>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</si>
  <si>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</si>
  <si>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</si>
  <si>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</si>
  <si>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</si>
  <si>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</si>
  <si>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</si>
  <si>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</si>
  <si>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</si>
  <si>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</si>
  <si>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</si>
  <si>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</si>
  <si>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</si>
  <si>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</si>
  <si>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</si>
  <si>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</si>
  <si>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</si>
  <si>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</si>
  <si>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</si>
  <si>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</si>
  <si>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</si>
  <si>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</si>
  <si>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</si>
  <si>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</si>
  <si>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</si>
  <si>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</si>
  <si>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</si>
  <si>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</si>
  <si>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</si>
  <si>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</si>
  <si>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</si>
  <si>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</si>
  <si>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</si>
  <si>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</si>
  <si>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</si>
  <si>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</si>
  <si>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</si>
  <si>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</si>
  <si>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</si>
  <si>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</si>
  <si>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</si>
  <si>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</si>
  <si>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</si>
  <si>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</si>
  <si>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</si>
  <si>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</si>
  <si>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</si>
  <si>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</si>
  <si>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</si>
  <si>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</si>
  <si>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</si>
  <si>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</si>
  <si>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</si>
  <si>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</si>
  <si>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</si>
  <si>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</si>
  <si>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</si>
  <si>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</si>
  <si>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</si>
  <si>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</si>
  <si>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</si>
  <si>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</si>
  <si>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</si>
  <si>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</si>
  <si>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</si>
  <si>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</si>
  <si>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</si>
  <si>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</si>
  <si>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</si>
  <si>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</si>
  <si>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</si>
  <si>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</si>
  <si>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</si>
  <si>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</si>
  <si>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</si>
  <si>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</si>
  <si>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</si>
  <si>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</si>
  <si>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</si>
  <si>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</si>
  <si>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</si>
  <si>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</si>
  <si>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</si>
  <si>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</si>
  <si>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</si>
  <si>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</si>
  <si>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</si>
  <si>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</si>
  <si>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</si>
  <si>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</si>
  <si>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</si>
  <si>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</si>
  <si>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</si>
  <si>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</si>
  <si>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</si>
  <si>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</si>
  <si>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</si>
  <si>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</si>
  <si>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</si>
  <si>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</si>
  <si>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</si>
  <si>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</si>
  <si>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</si>
  <si>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</si>
  <si>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</si>
  <si>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</si>
  <si>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</si>
  <si>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</si>
  <si>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</si>
  <si>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</si>
  <si>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</si>
  <si>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</si>
  <si>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</si>
  <si>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</si>
  <si>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</si>
  <si>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</si>
  <si>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</si>
  <si>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</si>
  <si>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</si>
  <si>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</si>
  <si>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</si>
  <si>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</si>
  <si>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</si>
  <si>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</si>
  <si>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</si>
  <si>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</si>
  <si>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</si>
  <si>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</si>
  <si>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</si>
  <si>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</si>
  <si>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</si>
  <si>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</si>
  <si>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</si>
  <si>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</si>
  <si>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</si>
  <si>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</si>
  <si>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</si>
  <si>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</si>
  <si>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</si>
  <si>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</si>
  <si>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</si>
  <si>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</si>
  <si>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</si>
  <si>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</si>
  <si>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</si>
  <si>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</si>
  <si>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</si>
  <si>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</si>
  <si>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</si>
  <si>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</si>
  <si>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</si>
  <si>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</si>
  <si>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</si>
  <si>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</si>
  <si>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</si>
  <si>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</si>
  <si>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</si>
  <si>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</si>
  <si>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</si>
  <si>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</si>
  <si>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</si>
  <si>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</si>
  <si>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</si>
  <si>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</si>
  <si>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</si>
  <si>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</si>
  <si>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</si>
  <si>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</si>
  <si>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</si>
  <si>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</si>
  <si>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</si>
  <si>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</si>
  <si>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</si>
  <si>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</si>
  <si>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</si>
  <si>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</si>
  <si>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</si>
  <si>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</si>
  <si>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</si>
  <si>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</si>
  <si>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</si>
  <si>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</si>
  <si>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</si>
  <si>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</si>
  <si>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</si>
  <si>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</si>
  <si>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</si>
  <si>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</si>
  <si>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</si>
  <si>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</si>
  <si>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</si>
  <si>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</si>
  <si>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</si>
  <si>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</si>
  <si>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</si>
  <si>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</si>
  <si>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</si>
  <si>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</si>
  <si>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</si>
  <si>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</si>
  <si>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</si>
  <si>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</si>
  <si>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</si>
  <si>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</si>
  <si>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</si>
  <si>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</si>
  <si>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</si>
  <si>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</si>
  <si>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</si>
  <si>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</si>
  <si>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</si>
  <si>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</si>
  <si>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</si>
  <si>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</si>
  <si>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</si>
  <si>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</si>
  <si>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</si>
  <si>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</si>
  <si>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</si>
  <si>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</si>
  <si>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</si>
  <si>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</si>
  <si>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</si>
  <si>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</si>
  <si>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</si>
  <si>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</si>
  <si>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</si>
  <si>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</si>
  <si>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</si>
  <si>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</si>
  <si>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</si>
  <si>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</si>
  <si>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</si>
  <si>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</si>
  <si>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</si>
  <si>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</si>
  <si>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</si>
  <si>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</si>
  <si>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</si>
  <si>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</si>
  <si>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</si>
  <si>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</si>
  <si>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</si>
  <si>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</si>
  <si>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</si>
  <si>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</si>
  <si>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</si>
  <si>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</si>
  <si>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</si>
  <si>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</si>
  <si>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</si>
  <si>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</si>
  <si>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</si>
  <si>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</si>
  <si>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</si>
  <si>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</si>
  <si>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</si>
  <si>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</si>
  <si>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</si>
  <si>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</si>
  <si>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</si>
  <si>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</si>
  <si>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</si>
  <si>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</si>
  <si>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</si>
  <si>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</si>
  <si>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</si>
  <si>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</si>
  <si>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</si>
  <si>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</si>
  <si>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</si>
  <si>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</si>
  <si>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</si>
  <si>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</si>
  <si>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</si>
  <si>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</si>
  <si>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</si>
  <si>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</si>
  <si>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</si>
  <si>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</si>
  <si>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</si>
  <si>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</si>
  <si>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</si>
  <si>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</si>
  <si>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</si>
  <si>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</si>
  <si>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</si>
  <si>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</si>
  <si>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</si>
  <si>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</si>
  <si>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</si>
  <si>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</si>
  <si>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</si>
  <si>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</si>
  <si>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</si>
  <si>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</si>
  <si>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</si>
  <si>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</si>
  <si>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</si>
  <si>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</si>
  <si>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</si>
  <si>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</si>
  <si>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</si>
  <si>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</si>
  <si>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</si>
  <si>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</si>
  <si>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</si>
  <si>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</si>
  <si>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</si>
  <si>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</si>
  <si>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</si>
  <si>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</si>
  <si>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</si>
  <si>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</si>
  <si>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</si>
  <si>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</si>
  <si>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</si>
  <si>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</si>
  <si>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</si>
  <si>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</si>
  <si>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</si>
  <si>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</si>
  <si>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</si>
  <si>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</si>
  <si>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</si>
  <si>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</si>
  <si>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</si>
  <si>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</si>
  <si>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</si>
  <si>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</si>
  <si>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</si>
  <si>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</si>
  <si>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</si>
  <si>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</si>
  <si>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</si>
  <si>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</si>
  <si>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</si>
  <si>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</si>
  <si>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</si>
  <si>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</si>
  <si>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</si>
  <si>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</si>
  <si>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</si>
  <si>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</si>
  <si>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</si>
  <si>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</si>
  <si>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</si>
  <si>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</si>
  <si>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</si>
  <si>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</si>
  <si>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</si>
  <si>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</si>
  <si>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</si>
  <si>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</si>
  <si>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</si>
  <si>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</si>
  <si>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</si>
  <si>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</si>
  <si>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</si>
  <si>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</si>
  <si>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</si>
  <si>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</si>
  <si>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</si>
  <si>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</si>
  <si>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</si>
  <si>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</si>
  <si>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</si>
  <si>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</si>
  <si>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</si>
  <si>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</si>
  <si>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</si>
  <si>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</si>
  <si>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</si>
  <si>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</si>
  <si>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</si>
  <si>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</si>
  <si>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</si>
  <si>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</si>
  <si>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</si>
  <si>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</si>
  <si>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</si>
  <si>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</si>
  <si>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</si>
  <si>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</si>
  <si>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</si>
  <si>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</si>
  <si>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</si>
  <si>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</si>
  <si>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</si>
  <si>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</si>
  <si>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</si>
  <si>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</si>
  <si>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</si>
  <si>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</si>
  <si>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</si>
  <si>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</si>
  <si>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</si>
  <si>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</si>
  <si>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</si>
  <si>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</si>
  <si>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</si>
  <si>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</si>
  <si>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</si>
  <si>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</si>
  <si>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</si>
  <si>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</si>
  <si>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</si>
  <si>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</si>
  <si>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</si>
  <si>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</si>
  <si>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</si>
  <si>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</si>
  <si>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</si>
  <si>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</si>
  <si>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</si>
  <si>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</si>
  <si>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</si>
  <si>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</si>
  <si>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</si>
  <si>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</si>
  <si>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</si>
  <si>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</si>
  <si>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</si>
  <si>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</si>
  <si>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</si>
  <si>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</si>
  <si>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</si>
  <si>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</si>
  <si>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</si>
  <si>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</si>
  <si>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</si>
  <si>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</si>
  <si>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</si>
  <si>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</si>
  <si>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</si>
  <si>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</si>
  <si>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</si>
  <si>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</si>
  <si>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</si>
  <si>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</si>
  <si>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</si>
  <si>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</si>
  <si>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</si>
  <si>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</si>
  <si>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</si>
  <si>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</si>
  <si>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</si>
  <si>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</si>
  <si>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</si>
  <si>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</si>
  <si>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</si>
  <si>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</si>
  <si>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</si>
  <si>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</si>
  <si>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</si>
  <si>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</si>
  <si>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</si>
  <si>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</si>
  <si>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</si>
  <si>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</si>
  <si>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</si>
  <si>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</si>
  <si>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</si>
  <si>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</si>
  <si>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</si>
  <si>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</si>
  <si>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</si>
  <si>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</si>
  <si>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</si>
  <si>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</si>
  <si>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</si>
  <si>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</si>
  <si>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</si>
  <si>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</si>
  <si>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</si>
  <si>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</si>
  <si>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</si>
  <si>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</si>
  <si>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</si>
  <si>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</si>
  <si>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</si>
  <si>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</si>
  <si>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</si>
  <si>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</si>
  <si>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</si>
  <si>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</si>
  <si>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</si>
  <si>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</si>
  <si>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</si>
  <si>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</si>
  <si>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</si>
  <si>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</si>
  <si>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</si>
  <si>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</si>
  <si>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</si>
  <si>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</si>
  <si>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</si>
  <si>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</si>
  <si>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</si>
  <si>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</si>
  <si>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</si>
  <si>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</si>
  <si>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</si>
  <si>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</si>
  <si>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</si>
  <si>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</si>
  <si>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</si>
  <si>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</si>
  <si>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</si>
  <si>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</si>
  <si>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</si>
  <si>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</si>
  <si>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</si>
  <si>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</si>
  <si>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</si>
  <si>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</si>
  <si>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</si>
  <si>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</si>
  <si>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</si>
  <si>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</si>
  <si>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</si>
  <si>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</si>
  <si>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</si>
  <si>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</si>
  <si>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</si>
  <si>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</si>
  <si>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</si>
  <si>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</si>
  <si>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</si>
  <si>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</si>
  <si>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</si>
  <si>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</si>
  <si>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</si>
  <si>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</si>
  <si>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</si>
  <si>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</si>
  <si>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</si>
  <si>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</si>
  <si>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</si>
  <si>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</si>
  <si>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</si>
  <si>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</si>
  <si>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</si>
  <si>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</si>
  <si>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</si>
  <si>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</si>
  <si>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</si>
  <si>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</si>
  <si>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</si>
  <si>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</si>
  <si>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</si>
  <si>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</si>
  <si>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</si>
  <si>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</si>
  <si>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</si>
  <si>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</si>
  <si>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</si>
  <si>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</si>
  <si>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</si>
  <si>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</si>
  <si>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</si>
  <si>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</si>
  <si>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</si>
  <si>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</si>
  <si>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</si>
  <si>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</si>
  <si>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</si>
  <si>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</si>
  <si>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</si>
  <si>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</si>
  <si>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</si>
  <si>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</si>
  <si>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</si>
  <si>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</si>
  <si>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</si>
  <si>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</si>
  <si>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</si>
  <si>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</si>
  <si>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</si>
  <si>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</si>
  <si>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</si>
  <si>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</si>
  <si>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</si>
  <si>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</si>
  <si>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</si>
  <si>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</si>
  <si>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</si>
  <si>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</si>
  <si>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</si>
  <si>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</si>
  <si>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</si>
  <si>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</si>
  <si>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</si>
  <si>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</si>
  <si>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</si>
  <si>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</si>
  <si>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</si>
  <si>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</si>
  <si>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</si>
  <si>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</si>
  <si>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</si>
  <si>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</si>
  <si>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</si>
  <si>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</si>
  <si>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</si>
  <si>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</si>
  <si>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</si>
  <si>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</si>
  <si>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</si>
  <si>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</si>
  <si>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</si>
  <si>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</si>
  <si>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</si>
  <si>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</si>
  <si>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</si>
  <si>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</si>
  <si>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</si>
  <si>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</si>
  <si>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</si>
  <si>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</si>
  <si>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</si>
  <si>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</si>
  <si>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</si>
  <si>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</si>
  <si>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</si>
  <si>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</si>
  <si>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</si>
  <si>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</si>
  <si>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</si>
  <si>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</si>
  <si>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</si>
  <si>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</si>
  <si>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</si>
  <si>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</si>
  <si>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</si>
  <si>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</si>
  <si>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</si>
  <si>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</si>
  <si>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</si>
  <si>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</si>
  <si>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</si>
  <si>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</si>
  <si>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</si>
  <si>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</si>
  <si>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</si>
  <si>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</si>
  <si>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</si>
  <si>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</si>
  <si>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</si>
  <si>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</si>
  <si>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</si>
  <si>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</si>
  <si>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</si>
  <si>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</si>
  <si>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</si>
  <si>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</si>
  <si>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</si>
  <si>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</si>
  <si>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</si>
  <si>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</si>
  <si>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</si>
  <si>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</si>
  <si>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</si>
  <si>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</si>
  <si>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</si>
  <si>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</si>
  <si>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</si>
  <si>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</si>
  <si>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</si>
  <si>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</si>
  <si>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</si>
  <si>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</si>
  <si>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</si>
  <si>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</si>
  <si>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</si>
  <si>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</si>
  <si>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</si>
  <si>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</si>
  <si>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</si>
  <si>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</si>
  <si>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</si>
  <si>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</si>
  <si>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</si>
  <si>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</si>
  <si>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</si>
  <si>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</si>
  <si>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</si>
  <si>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</si>
  <si>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</si>
  <si>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</si>
  <si>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</si>
  <si>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</si>
  <si>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</si>
  <si>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</si>
  <si>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</si>
  <si>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</si>
  <si>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</si>
  <si>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</si>
  <si>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</si>
  <si>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</si>
  <si>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</si>
  <si>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</si>
  <si>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</si>
  <si>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</si>
  <si>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</si>
  <si>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</si>
  <si>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</si>
  <si>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</si>
  <si>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</si>
  <si>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</si>
  <si>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</si>
  <si>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</si>
  <si>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</si>
  <si>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</si>
  <si>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</si>
  <si>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</si>
  <si>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</si>
  <si>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</si>
  <si>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</si>
  <si>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</si>
  <si>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</si>
  <si>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</si>
  <si>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</si>
  <si>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</si>
  <si>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</si>
  <si>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</si>
  <si>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</si>
  <si>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</si>
  <si>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</si>
  <si>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</si>
  <si>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</si>
  <si>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</si>
  <si>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</si>
  <si>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</si>
  <si>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</si>
  <si>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</si>
  <si>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</si>
  <si>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</si>
  <si>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</si>
  <si>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</si>
  <si>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</si>
  <si>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</si>
  <si>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</si>
  <si>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</si>
  <si>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</si>
  <si>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</si>
  <si>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</si>
  <si>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</si>
  <si>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</si>
  <si>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</si>
  <si>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</si>
  <si>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</si>
  <si>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</si>
  <si>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</si>
  <si>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</si>
  <si>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</si>
  <si>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</si>
  <si>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</si>
  <si>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</si>
  <si>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</si>
  <si>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</si>
  <si>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</si>
  <si>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</si>
  <si>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</si>
  <si>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</si>
  <si>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</si>
  <si>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</si>
  <si>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</si>
  <si>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</si>
  <si>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</si>
  <si>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</si>
  <si>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</si>
  <si>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</si>
  <si>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</si>
  <si>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</si>
  <si>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</si>
  <si>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</si>
  <si>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</si>
  <si>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</si>
  <si>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</si>
  <si>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</si>
  <si>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</si>
  <si>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</si>
  <si>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</si>
  <si>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</si>
  <si>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</si>
  <si>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</si>
  <si>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</si>
  <si>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</si>
  <si>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</si>
  <si>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</si>
  <si>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</si>
  <si>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</si>
  <si>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</si>
  <si>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</si>
  <si>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</si>
  <si>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</si>
  <si>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</si>
  <si>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</si>
  <si>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</si>
  <si>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</si>
  <si>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</si>
  <si>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</si>
  <si>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</si>
  <si>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</si>
  <si>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</si>
  <si>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</si>
  <si>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</si>
  <si>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</si>
  <si>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</si>
  <si>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</si>
  <si>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</si>
  <si>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</si>
  <si>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</si>
  <si>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</si>
  <si>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</si>
  <si>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</si>
  <si>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</si>
  <si>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</si>
  <si>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</si>
  <si>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</si>
  <si>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</si>
  <si>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</si>
  <si>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</si>
  <si>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</si>
  <si>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</si>
  <si>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</si>
  <si>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</si>
  <si>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</si>
  <si>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</si>
  <si>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</si>
  <si>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</si>
  <si>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</si>
  <si>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</si>
  <si>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</si>
  <si>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</si>
  <si>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</si>
  <si>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</si>
  <si>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</si>
  <si>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</si>
  <si>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</si>
  <si>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</si>
  <si>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</si>
  <si>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</si>
  <si>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</si>
  <si>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</si>
  <si>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</si>
  <si>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</si>
  <si>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</si>
  <si>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</si>
  <si>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</si>
  <si>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</si>
  <si>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</si>
  <si>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</si>
  <si>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</si>
  <si>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</si>
  <si>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</si>
  <si>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</si>
  <si>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</si>
  <si>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</si>
  <si>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</si>
  <si>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</si>
  <si>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</si>
  <si>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</si>
  <si>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</si>
  <si>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</si>
  <si>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</si>
  <si>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</si>
  <si>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</si>
  <si>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</si>
  <si>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</si>
  <si>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</si>
  <si>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</si>
  <si>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</si>
  <si>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</si>
  <si>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</si>
  <si>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</si>
  <si>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</si>
  <si>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</si>
  <si>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</si>
  <si>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</si>
  <si>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</si>
  <si>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</si>
  <si>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</si>
  <si>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</si>
  <si>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</si>
  <si>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</si>
  <si>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</si>
  <si>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</si>
  <si>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</si>
  <si>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</si>
  <si>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</si>
  <si>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</si>
  <si>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</si>
  <si>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</si>
  <si>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</si>
  <si>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</si>
  <si>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</si>
  <si>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</si>
  <si>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</si>
  <si>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</si>
  <si>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</si>
  <si>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</si>
  <si>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</si>
  <si>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</si>
  <si>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</si>
  <si>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</si>
  <si>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</si>
  <si>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</si>
  <si>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</si>
  <si>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</si>
  <si>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</si>
  <si>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</si>
  <si>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</si>
  <si>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</si>
  <si>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</si>
  <si>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</si>
  <si>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</si>
  <si>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</si>
  <si>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</si>
  <si>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</si>
  <si>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</si>
  <si>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</si>
  <si>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</si>
  <si>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</si>
  <si>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</si>
  <si>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</si>
  <si>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</si>
  <si>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</si>
  <si>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</si>
  <si>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</si>
  <si>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</si>
  <si>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</si>
  <si>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</si>
  <si>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</si>
  <si>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</si>
  <si>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</si>
  <si>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</si>
  <si>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</si>
  <si>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</si>
  <si>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</si>
  <si>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</si>
  <si>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</si>
  <si>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</si>
  <si>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</si>
  <si>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</si>
  <si>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</si>
  <si>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</si>
  <si>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</si>
  <si>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</si>
  <si>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</si>
  <si>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</si>
  <si>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</si>
  <si>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</si>
  <si>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</si>
  <si>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</si>
  <si>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</si>
  <si>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</si>
  <si>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</si>
  <si>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</si>
  <si>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</si>
  <si>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</si>
  <si>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</si>
  <si>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</si>
  <si>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</si>
  <si>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</si>
  <si>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</si>
  <si>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</si>
  <si>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</si>
  <si>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</si>
  <si>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</si>
  <si>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</si>
  <si>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</si>
  <si>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</si>
  <si>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</si>
  <si>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</si>
  <si>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</si>
  <si>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</si>
  <si>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</si>
  <si>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</si>
  <si>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</si>
  <si>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</si>
  <si>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</si>
  <si>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</si>
  <si>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</si>
  <si>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</si>
  <si>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</si>
  <si>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</si>
  <si>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</si>
  <si>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</si>
  <si>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</si>
  <si>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</si>
  <si>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</si>
  <si>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</si>
  <si>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</si>
  <si>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</si>
  <si>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</si>
  <si>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</si>
  <si>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</si>
  <si>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</si>
  <si>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</si>
  <si>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</si>
  <si>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</si>
  <si>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</si>
  <si>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</si>
  <si>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</si>
  <si>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</si>
  <si>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</si>
  <si>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</si>
  <si>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</si>
  <si>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</si>
  <si>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</si>
  <si>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</si>
  <si>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</si>
  <si>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</si>
  <si>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</si>
  <si>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</si>
  <si>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</si>
  <si>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</si>
  <si>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</si>
  <si>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</si>
  <si>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</si>
  <si>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</si>
  <si>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</si>
  <si>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</si>
  <si>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</si>
  <si>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</si>
  <si>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</si>
  <si>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</si>
  <si>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</si>
  <si>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</si>
  <si>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</si>
  <si>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</si>
  <si>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</si>
  <si>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</si>
  <si>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</si>
  <si>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</si>
  <si>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</si>
  <si>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</si>
  <si>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</si>
  <si>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</si>
  <si>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</si>
  <si>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</si>
  <si>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</si>
  <si>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</si>
  <si>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</si>
  <si>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</si>
  <si>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</si>
  <si>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</si>
  <si>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</si>
  <si>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</si>
  <si>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</si>
  <si>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</si>
  <si>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</si>
  <si>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</si>
  <si>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</si>
  <si>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</si>
  <si>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</si>
  <si>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</si>
  <si>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</si>
  <si>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</si>
  <si>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</si>
  <si>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</si>
  <si>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</si>
  <si>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</si>
  <si>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</si>
  <si>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</si>
  <si>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</si>
  <si>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</si>
  <si>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</si>
  <si>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</si>
  <si>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</si>
  <si>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</si>
  <si>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</si>
  <si>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</si>
  <si>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</si>
  <si>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</si>
  <si>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</si>
  <si>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</si>
  <si>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</si>
  <si>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</si>
  <si>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</si>
  <si>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</si>
  <si>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</si>
  <si>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</si>
  <si>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</si>
  <si>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</si>
  <si>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</si>
  <si>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</si>
  <si>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</si>
  <si>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</si>
  <si>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</si>
  <si>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</si>
  <si>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</si>
  <si>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</si>
  <si>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</si>
  <si>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</si>
  <si>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</si>
  <si>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</si>
  <si>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</si>
  <si>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</si>
  <si>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</si>
  <si>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</si>
  <si>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</si>
  <si>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</si>
  <si>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</si>
  <si>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</si>
  <si>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</si>
  <si>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</si>
  <si>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</si>
  <si>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</si>
  <si>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</si>
  <si>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</si>
  <si>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</si>
  <si>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</si>
  <si>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</si>
  <si>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</si>
  <si>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</si>
  <si>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</si>
  <si>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</si>
  <si>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</si>
  <si>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</si>
  <si>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</si>
  <si>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</si>
  <si>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</si>
  <si>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</si>
  <si>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</si>
  <si>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</si>
  <si>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</si>
  <si>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</si>
  <si>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</si>
  <si>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</si>
  <si>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</si>
  <si>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</si>
  <si>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</si>
  <si>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</si>
  <si>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</si>
  <si>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</si>
  <si>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</si>
  <si>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</si>
  <si>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</si>
  <si>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</si>
  <si>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</si>
  <si>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</si>
  <si>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</si>
  <si>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</si>
  <si>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</si>
  <si>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</si>
  <si>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</si>
  <si>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</si>
  <si>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</si>
  <si>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</si>
  <si>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</si>
  <si>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</si>
  <si>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</si>
  <si>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</si>
  <si>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</si>
  <si>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</si>
  <si>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</si>
  <si>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</si>
  <si>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</si>
  <si>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</si>
  <si>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</si>
  <si>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</si>
  <si>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</si>
  <si>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</si>
  <si>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</si>
  <si>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</si>
  <si>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</si>
  <si>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</si>
  <si>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</si>
  <si>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</si>
  <si>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</si>
  <si>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</si>
  <si>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</si>
  <si>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</si>
  <si>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</si>
  <si>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</si>
  <si>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</si>
  <si>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</si>
  <si>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</si>
  <si>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</si>
  <si>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</si>
  <si>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</si>
  <si>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</si>
  <si>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</si>
  <si>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</si>
  <si>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</si>
  <si>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</si>
  <si>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</si>
  <si>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</si>
  <si>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</si>
  <si>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</si>
  <si>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</si>
  <si>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</si>
  <si>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</si>
  <si>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</si>
  <si>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</si>
  <si>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</si>
  <si>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</si>
  <si>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</si>
  <si>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</si>
  <si>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</si>
  <si>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</si>
  <si>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</si>
  <si>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</si>
  <si>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</si>
  <si>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</si>
  <si>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</si>
  <si>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</si>
  <si>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</si>
  <si>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</si>
  <si>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</si>
  <si>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</si>
  <si>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</si>
  <si>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</si>
  <si>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</si>
  <si>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</si>
  <si>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</si>
  <si>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</si>
  <si>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</si>
  <si>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</si>
  <si>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</si>
  <si>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</si>
  <si>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</si>
  <si>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</si>
  <si>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</si>
  <si>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</si>
  <si>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</si>
  <si>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</si>
  <si>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</si>
  <si>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</si>
  <si>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</si>
  <si>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</si>
  <si>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</si>
  <si>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</si>
  <si>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</si>
  <si>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</si>
  <si>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</si>
  <si>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</si>
  <si>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</si>
  <si>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</si>
  <si>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</si>
  <si>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</si>
  <si>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</si>
  <si>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</si>
  <si>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</si>
  <si>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</si>
  <si>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</si>
  <si>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</si>
  <si>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</si>
  <si>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</si>
  <si>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</si>
  <si>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</si>
  <si>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</si>
  <si>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</si>
  <si>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</si>
  <si>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</si>
  <si>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</si>
  <si>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</si>
  <si>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</si>
  <si>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</si>
  <si>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</si>
  <si>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</si>
  <si>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</si>
  <si>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</si>
  <si>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</si>
  <si>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</si>
  <si>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</si>
  <si>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</si>
  <si>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</si>
  <si>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</si>
  <si>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</si>
  <si>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</si>
  <si>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</si>
  <si>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</si>
  <si>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</si>
  <si>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</si>
  <si>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</si>
  <si>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</si>
  <si>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</si>
  <si>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</si>
  <si>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</si>
  <si>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</si>
  <si>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</si>
  <si>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</si>
  <si>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</si>
  <si>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</si>
  <si>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</si>
  <si>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</si>
  <si>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</si>
  <si>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</si>
  <si>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</si>
  <si>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</si>
  <si>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</si>
  <si>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</si>
  <si>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</si>
  <si>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</si>
  <si>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</si>
  <si>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</si>
  <si>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</si>
  <si>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</si>
  <si>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</si>
  <si>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</si>
  <si>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</si>
  <si>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</si>
  <si>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</si>
  <si>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</si>
  <si>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</si>
  <si>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</si>
  <si>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</si>
  <si>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</si>
  <si>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</si>
  <si>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</si>
  <si>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</si>
  <si>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</si>
  <si>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</si>
  <si>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</si>
  <si>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</si>
  <si>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</si>
  <si>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</si>
  <si>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</si>
  <si>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</si>
  <si>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</si>
  <si>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</si>
  <si>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</si>
  <si>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</si>
  <si>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</si>
  <si>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</si>
  <si>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</si>
  <si>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</si>
  <si>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</si>
  <si>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</si>
  <si>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</si>
  <si>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</si>
  <si>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</si>
  <si>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</si>
  <si>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</si>
  <si>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</si>
  <si>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</si>
  <si>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</si>
  <si>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</si>
  <si>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</si>
  <si>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</si>
  <si>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</si>
  <si>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</si>
  <si>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</si>
  <si>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</si>
  <si>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</si>
  <si>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</si>
  <si>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</si>
  <si>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</si>
  <si>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</si>
  <si>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</si>
  <si>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</si>
  <si>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</si>
  <si>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</si>
  <si>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</si>
  <si>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</si>
  <si>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</si>
  <si>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</si>
  <si>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</si>
  <si>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</si>
  <si>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</si>
  <si>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</si>
  <si>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</si>
  <si>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</si>
  <si>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</si>
  <si>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</si>
  <si>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</si>
  <si>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</si>
  <si>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</si>
  <si>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</si>
  <si>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</si>
  <si>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</si>
  <si>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</si>
  <si>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</si>
  <si>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</si>
  <si>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</si>
  <si>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</si>
  <si>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</si>
  <si>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</si>
  <si>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</si>
  <si>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</si>
  <si>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</si>
  <si>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</si>
  <si>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</si>
  <si>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</si>
  <si>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</si>
  <si>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</si>
  <si>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</si>
  <si>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</si>
  <si>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</si>
  <si>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</si>
  <si>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</si>
  <si>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</si>
  <si>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</si>
  <si>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</si>
  <si>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</si>
  <si>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</si>
  <si>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</si>
  <si>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</si>
  <si>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</si>
  <si>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</si>
  <si>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</si>
  <si>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</si>
  <si>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</si>
  <si>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</si>
  <si>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</si>
  <si>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</si>
  <si>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</si>
  <si>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</si>
  <si>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</si>
  <si>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</si>
  <si>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</si>
  <si>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</si>
  <si>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</si>
  <si>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</si>
  <si>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</si>
  <si>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</si>
  <si>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</si>
  <si>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</si>
  <si>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</si>
  <si>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</si>
  <si>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</si>
  <si>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</si>
  <si>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</si>
  <si>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</si>
  <si>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</si>
  <si>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</si>
  <si>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</si>
  <si>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</si>
  <si>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</si>
  <si>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</si>
  <si>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</si>
  <si>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</si>
  <si>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</si>
  <si>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</si>
  <si>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</si>
  <si>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</si>
  <si>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</si>
  <si>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</si>
  <si>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</si>
  <si>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</si>
  <si>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</si>
  <si>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</si>
  <si>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</si>
  <si>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</si>
  <si>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</si>
  <si>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</si>
  <si>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</si>
  <si>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</si>
  <si>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</si>
  <si>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</si>
  <si>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</si>
  <si>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</si>
  <si>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</si>
  <si>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</si>
  <si>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</si>
  <si>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</si>
  <si>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</si>
  <si>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</si>
  <si>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</si>
  <si>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</si>
  <si>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</si>
  <si>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</si>
  <si>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</si>
  <si>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</si>
  <si>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</si>
  <si>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</si>
  <si>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</si>
  <si>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</si>
  <si>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</si>
  <si>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</si>
  <si>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</si>
  <si>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</si>
  <si>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</si>
  <si>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</si>
  <si>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</si>
  <si>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</si>
  <si>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</si>
  <si>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</si>
  <si>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</si>
  <si>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</si>
  <si>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</si>
  <si>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</si>
  <si>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</si>
  <si>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</si>
  <si>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</si>
  <si>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</si>
  <si>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</si>
  <si>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</si>
  <si>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</si>
  <si>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</si>
  <si>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</si>
  <si>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</si>
  <si>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</si>
  <si>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</si>
  <si>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</si>
  <si>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</si>
  <si>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</si>
  <si>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</si>
  <si>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</si>
  <si>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</si>
  <si>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</si>
  <si>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</si>
  <si>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</si>
  <si>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</si>
  <si>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</si>
  <si>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</si>
  <si>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</si>
  <si>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</si>
  <si>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</si>
  <si>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</si>
  <si>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</si>
  <si>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</si>
  <si>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</si>
  <si>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</si>
  <si>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</si>
  <si>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</si>
  <si>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</si>
  <si>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</si>
  <si>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</si>
  <si>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</si>
  <si>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</si>
  <si>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</si>
  <si>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</si>
  <si>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</si>
  <si>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</si>
  <si>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</si>
  <si>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</si>
  <si>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</si>
  <si>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</si>
  <si>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</si>
  <si>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</si>
  <si>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</si>
  <si>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</si>
  <si>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</si>
  <si>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</si>
  <si>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</si>
  <si>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</si>
  <si>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</si>
  <si>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</si>
  <si>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</si>
  <si>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</si>
  <si>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</si>
  <si>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</si>
  <si>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</si>
  <si>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</si>
  <si>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</si>
  <si>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</si>
  <si>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</si>
  <si>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</si>
  <si>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</si>
  <si>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</si>
  <si>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</si>
  <si>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</si>
  <si>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</si>
  <si>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</si>
  <si>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</si>
  <si>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</si>
  <si>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</si>
  <si>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</si>
  <si>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</si>
  <si>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</si>
  <si>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</si>
  <si>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</si>
  <si>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</si>
  <si>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</si>
  <si>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</si>
  <si>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</si>
  <si>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</si>
  <si>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</si>
  <si>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</si>
  <si>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</si>
  <si>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</si>
  <si>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</si>
  <si>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</si>
  <si>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</si>
  <si>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</si>
  <si>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</si>
  <si>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</si>
  <si>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</si>
  <si>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</si>
  <si>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</si>
  <si>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</si>
  <si>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</si>
  <si>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</si>
  <si>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</si>
  <si>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</si>
  <si>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</si>
  <si>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</si>
  <si>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</si>
  <si>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</si>
  <si>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</si>
  <si>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</si>
  <si>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</si>
  <si>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</si>
  <si>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</si>
  <si>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</si>
  <si>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</si>
  <si>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</si>
  <si>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</si>
  <si>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</si>
  <si>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</si>
  <si>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</si>
  <si>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</si>
  <si>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</si>
  <si>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</si>
  <si>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</si>
  <si>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</si>
  <si>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</si>
  <si>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</si>
  <si>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</si>
  <si>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</si>
  <si>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</si>
  <si>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</si>
  <si>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</si>
  <si>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</si>
  <si>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</si>
  <si>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</si>
  <si>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</si>
  <si>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</si>
  <si>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</si>
  <si>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</si>
  <si>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</si>
  <si>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</si>
  <si>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</si>
  <si>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</si>
  <si>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</si>
  <si>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</si>
  <si>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</si>
  <si>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</si>
  <si>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</si>
  <si>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</si>
  <si>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</si>
  <si>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</si>
  <si>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</si>
  <si>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</si>
  <si>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</si>
  <si>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</si>
  <si>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</si>
  <si>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</si>
  <si>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</si>
  <si>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</si>
  <si>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</si>
  <si>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</si>
  <si>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</si>
  <si>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</si>
  <si>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</si>
  <si>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</si>
  <si>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</si>
  <si>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</si>
  <si>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</si>
  <si>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</si>
  <si>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</si>
  <si>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</si>
  <si>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</si>
  <si>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</si>
  <si>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</si>
  <si>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</si>
  <si>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</si>
  <si>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</si>
  <si>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</si>
  <si>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</si>
  <si>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</si>
  <si>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</si>
  <si>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</si>
  <si>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</si>
  <si>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</si>
  <si>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</si>
  <si>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</si>
  <si>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</si>
  <si>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</si>
  <si>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</si>
  <si>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</si>
  <si>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</si>
  <si>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</si>
  <si>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</si>
  <si>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</si>
  <si>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</si>
  <si>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</si>
  <si>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</si>
  <si>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</si>
  <si>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</si>
  <si>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</si>
  <si>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</si>
  <si>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</si>
  <si>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</si>
  <si>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</si>
  <si>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</si>
  <si>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</si>
  <si>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</si>
  <si>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</si>
  <si>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</si>
  <si>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</si>
  <si>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</si>
  <si>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</si>
  <si>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</si>
  <si>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</si>
  <si>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</si>
  <si>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</si>
  <si>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</si>
  <si>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</si>
  <si>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</si>
  <si>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</si>
  <si>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</si>
  <si>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</si>
  <si>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</si>
  <si>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</si>
  <si>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</si>
  <si>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</si>
  <si>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</si>
  <si>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</si>
  <si>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</si>
  <si>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</si>
  <si>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</si>
  <si>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</si>
  <si>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</si>
  <si>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</si>
  <si>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</si>
  <si>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</si>
  <si>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</si>
  <si>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</si>
  <si>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</si>
  <si>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</si>
  <si>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</si>
  <si>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</si>
  <si>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</si>
  <si>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</si>
  <si>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</si>
  <si>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</si>
  <si>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</si>
  <si>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</si>
  <si>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</si>
  <si>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</si>
  <si>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</si>
  <si>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</si>
  <si>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</si>
  <si>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</si>
  <si>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</si>
  <si>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</si>
  <si>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</si>
  <si>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</si>
  <si>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</si>
  <si>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</si>
  <si>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</si>
  <si>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</si>
  <si>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</si>
  <si>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</si>
  <si>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</si>
  <si>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</si>
  <si>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</si>
  <si>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</si>
  <si>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</si>
  <si>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</si>
  <si>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</si>
  <si>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</si>
  <si>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</si>
  <si>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</si>
  <si>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</si>
  <si>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</si>
  <si>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</si>
  <si>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</si>
  <si>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</si>
  <si>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</si>
  <si>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</si>
  <si>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</si>
  <si>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</si>
  <si>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</si>
  <si>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</si>
  <si>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</si>
  <si>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</si>
  <si>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</si>
  <si>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</si>
  <si>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</si>
  <si>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</si>
  <si>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</si>
  <si>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</si>
  <si>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</si>
  <si>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</si>
  <si>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</si>
  <si>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</si>
  <si>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</si>
  <si>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</si>
  <si>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</si>
  <si>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</si>
  <si>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</si>
  <si>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</si>
  <si>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</si>
  <si>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</si>
  <si>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</si>
  <si>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</si>
  <si>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</si>
  <si>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</si>
  <si>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</si>
  <si>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</si>
  <si>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</si>
  <si>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</si>
  <si>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</si>
  <si>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</si>
  <si>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</si>
  <si>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</si>
  <si>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</si>
  <si>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</si>
  <si>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</si>
  <si>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</si>
  <si>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</si>
  <si>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</si>
  <si>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</si>
  <si>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</si>
  <si>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</si>
  <si>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</si>
  <si>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</si>
  <si>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</si>
  <si>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</si>
  <si>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</si>
  <si>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</si>
  <si>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</si>
  <si>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</si>
  <si>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</si>
  <si>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</si>
  <si>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</si>
  <si>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</si>
  <si>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</si>
  <si>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</si>
  <si>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</si>
  <si>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</si>
  <si>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</si>
  <si>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</si>
  <si>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</si>
  <si>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</si>
  <si>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</si>
  <si>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</si>
  <si>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</si>
  <si>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</si>
  <si>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</si>
  <si>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</si>
  <si>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</si>
  <si>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</si>
  <si>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</si>
  <si>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</si>
  <si>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</si>
  <si>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</si>
  <si>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</si>
  <si>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</si>
  <si>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</si>
  <si>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</si>
  <si>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</si>
  <si>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</si>
  <si>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</si>
  <si>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</si>
  <si>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</si>
  <si>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</si>
  <si>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</si>
  <si>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</si>
  <si>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</si>
  <si>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</si>
  <si>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</si>
  <si>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</si>
  <si>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</si>
  <si>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</si>
  <si>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</si>
  <si>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</si>
  <si>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</si>
  <si>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</si>
  <si>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</si>
  <si>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</si>
  <si>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</si>
  <si>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</si>
  <si>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</si>
  <si>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</si>
  <si>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</si>
  <si>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</si>
  <si>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</si>
  <si>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</si>
  <si>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</si>
  <si>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</si>
  <si>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</si>
  <si>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</si>
  <si>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</si>
  <si>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</si>
  <si>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</si>
  <si>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</si>
  <si>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</si>
  <si>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</si>
  <si>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</si>
  <si>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</si>
  <si>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</si>
  <si>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</si>
  <si>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</si>
  <si>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</si>
  <si>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</si>
  <si>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</si>
  <si>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</si>
  <si>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</si>
  <si>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</si>
  <si>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</si>
  <si>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</si>
  <si>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</si>
  <si>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</si>
  <si>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</si>
  <si>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</si>
  <si>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</si>
  <si>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</si>
  <si>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</si>
  <si>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</si>
  <si>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</si>
  <si>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</si>
  <si>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</si>
  <si>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</si>
  <si>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</si>
  <si>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</si>
  <si>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</si>
  <si>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</si>
  <si>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</si>
  <si>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</si>
  <si>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</si>
  <si>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</si>
  <si>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</si>
  <si>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</si>
  <si>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</si>
  <si>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</si>
  <si>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</si>
  <si>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</si>
  <si>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</si>
  <si>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</si>
  <si>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</si>
  <si>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</si>
  <si>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</si>
  <si>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</si>
  <si>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</si>
  <si>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</si>
  <si>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</si>
  <si>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</si>
  <si>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</si>
  <si>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</si>
  <si>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</si>
  <si>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</si>
  <si>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</si>
  <si>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</si>
  <si>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</si>
  <si>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</si>
  <si>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</si>
  <si>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</si>
  <si>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</si>
  <si>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</si>
  <si>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</si>
  <si>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</si>
  <si>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</si>
  <si>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</si>
  <si>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</si>
  <si>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</si>
  <si>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</si>
  <si>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</si>
  <si>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</si>
  <si>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</si>
  <si>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</si>
  <si>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</si>
  <si>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</si>
  <si>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</si>
  <si>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</si>
  <si>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</si>
  <si>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</si>
  <si>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</si>
  <si>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</si>
  <si>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</si>
  <si>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</si>
  <si>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</si>
  <si>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</si>
  <si>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</si>
  <si>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</si>
  <si>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</si>
  <si>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</si>
  <si>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</si>
  <si>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</si>
  <si>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</si>
  <si>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</si>
  <si>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</si>
  <si>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</si>
  <si>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</si>
  <si>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</si>
  <si>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</si>
  <si>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</si>
  <si>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</si>
  <si>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</si>
  <si>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</si>
  <si>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</si>
  <si>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</si>
  <si>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</si>
  <si>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</si>
  <si>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</si>
  <si>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</si>
  <si>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</si>
  <si>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</si>
  <si>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</si>
  <si>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</si>
  <si>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</si>
  <si>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</si>
  <si>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</si>
  <si>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</si>
  <si>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</si>
  <si>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</si>
  <si>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</si>
  <si>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</si>
  <si>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</si>
  <si>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</si>
  <si>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</si>
  <si>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</si>
  <si>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</si>
  <si>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</si>
  <si>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</si>
  <si>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</si>
  <si>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</si>
  <si>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</si>
  <si>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</si>
  <si>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</si>
  <si>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</si>
  <si>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</si>
  <si>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</si>
  <si>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</si>
  <si>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</si>
  <si>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</si>
  <si>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</si>
  <si>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</si>
  <si>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</si>
  <si>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</si>
  <si>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</si>
  <si>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</si>
  <si>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</si>
  <si>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</si>
  <si>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</si>
  <si>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</si>
  <si>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</si>
  <si>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</si>
  <si>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</si>
  <si>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</si>
  <si>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</si>
  <si>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</si>
  <si>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</si>
  <si>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</si>
  <si>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</si>
  <si>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</si>
  <si>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</si>
  <si>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</si>
  <si>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</si>
  <si>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</si>
  <si>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</si>
  <si>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</si>
  <si>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</si>
  <si>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</si>
  <si>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</si>
  <si>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</si>
  <si>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</si>
  <si>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</si>
  <si>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</si>
  <si>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</si>
  <si>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</si>
  <si>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</si>
  <si>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</si>
  <si>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</si>
  <si>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</si>
  <si>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</si>
  <si>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</si>
  <si>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</si>
  <si>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</si>
  <si>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</si>
  <si>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</si>
  <si>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</si>
  <si>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</si>
  <si>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</si>
  <si>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</si>
  <si>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</si>
  <si>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</si>
  <si>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</si>
  <si>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</si>
  <si>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</si>
  <si>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</si>
  <si>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</si>
  <si>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</si>
  <si>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</si>
  <si>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</si>
  <si>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</si>
  <si>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</si>
  <si>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</si>
  <si>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</si>
  <si>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</si>
  <si>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</si>
  <si>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</si>
  <si>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</si>
  <si>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</si>
  <si>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</si>
  <si>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</si>
  <si>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</si>
  <si>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</si>
  <si>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</si>
  <si>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</si>
  <si>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</si>
  <si>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</si>
  <si>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</si>
  <si>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</si>
  <si>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</si>
  <si>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</si>
  <si>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</si>
  <si>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</si>
  <si>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</si>
  <si>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</si>
  <si>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</si>
  <si>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</si>
  <si>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</si>
  <si>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</si>
  <si>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</si>
  <si>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</si>
  <si>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</si>
  <si>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</si>
  <si>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</si>
  <si>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</si>
  <si>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</si>
  <si>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</si>
  <si>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</si>
  <si>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</si>
  <si>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</si>
  <si>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</si>
  <si>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</si>
  <si>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</si>
  <si>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</si>
  <si>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</si>
  <si>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</si>
  <si>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</si>
  <si>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</si>
  <si>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</si>
  <si>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</si>
  <si>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</si>
  <si>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</si>
  <si>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</si>
  <si>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</si>
  <si>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</si>
  <si>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</si>
  <si>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</si>
  <si>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</si>
  <si>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</si>
  <si>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</si>
  <si>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</si>
  <si>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</si>
  <si>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</si>
  <si>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</si>
  <si>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</si>
  <si>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</si>
  <si>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</si>
  <si>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</si>
  <si>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</si>
  <si>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</si>
  <si>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</si>
  <si>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</si>
  <si>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</si>
  <si>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</si>
  <si>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</si>
  <si>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</si>
  <si>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</si>
  <si>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</si>
  <si>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</si>
  <si>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</si>
  <si>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</si>
  <si>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</si>
  <si>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</si>
  <si>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</si>
  <si>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</si>
  <si>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</si>
  <si>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</si>
  <si>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</si>
  <si>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</si>
  <si>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</si>
  <si>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</si>
  <si>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</si>
  <si>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</si>
  <si>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</si>
  <si>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</si>
  <si>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</si>
  <si>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</si>
  <si>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</si>
  <si>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</si>
  <si>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</si>
  <si>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</si>
  <si>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</si>
  <si>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</si>
  <si>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</si>
  <si>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</si>
  <si>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</si>
  <si>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</si>
  <si>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</si>
  <si>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</si>
  <si>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</si>
  <si>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</si>
  <si>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</si>
  <si>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</si>
  <si>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</si>
  <si>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</si>
  <si>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</si>
  <si>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</si>
  <si>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</si>
  <si>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</si>
  <si>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</si>
  <si>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</si>
  <si>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</si>
  <si>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</si>
  <si>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</si>
  <si>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</si>
  <si>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</si>
  <si>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</si>
  <si>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</si>
  <si>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</si>
  <si>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</si>
  <si>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</si>
  <si>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</si>
  <si>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</si>
  <si>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</si>
  <si>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</si>
  <si>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</si>
  <si>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</si>
  <si>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</si>
  <si>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</si>
  <si>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</si>
  <si>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</si>
  <si>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</si>
  <si>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</si>
  <si>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</si>
  <si>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</si>
  <si>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</si>
  <si>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</si>
  <si>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</si>
  <si>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</si>
  <si>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</si>
  <si>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</si>
  <si>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</si>
  <si>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</si>
  <si>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</si>
  <si>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</si>
  <si>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</si>
  <si>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</si>
  <si>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</si>
  <si>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</si>
  <si>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</si>
  <si>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</si>
  <si>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</si>
  <si>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</si>
  <si>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</si>
  <si>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</si>
  <si>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</si>
  <si>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</si>
  <si>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</si>
  <si>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</si>
  <si>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</si>
  <si>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</si>
  <si>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</si>
  <si>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</si>
  <si>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</si>
  <si>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</si>
  <si>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</si>
  <si>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</si>
  <si>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</si>
  <si>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</si>
  <si>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</si>
  <si>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</si>
  <si>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</si>
  <si>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</si>
  <si>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</si>
  <si>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</si>
  <si>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</si>
  <si>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</si>
  <si>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</si>
  <si>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</si>
  <si>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</si>
  <si>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</si>
  <si>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</si>
  <si>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</si>
  <si>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</si>
  <si>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</si>
  <si>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</si>
  <si>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</si>
  <si>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</si>
  <si>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</si>
  <si>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</si>
  <si>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</si>
  <si>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</si>
  <si>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</si>
  <si>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</si>
  <si>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</si>
  <si>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</si>
  <si>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</si>
  <si>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</si>
  <si>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</si>
  <si>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</si>
  <si>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</si>
  <si>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</si>
  <si>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</si>
  <si>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</si>
  <si>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</si>
  <si>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</si>
  <si>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</si>
  <si>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</si>
  <si>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</si>
  <si>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</si>
  <si>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</si>
  <si>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</si>
  <si>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</si>
  <si>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</si>
  <si>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</si>
  <si>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</si>
  <si>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</si>
  <si>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</si>
  <si>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</si>
  <si>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</si>
  <si>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</si>
  <si>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</si>
  <si>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</si>
  <si>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</si>
  <si>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</si>
  <si>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</si>
  <si>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</si>
  <si>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</si>
  <si>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</si>
  <si>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</si>
  <si>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</si>
  <si>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</si>
  <si>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</si>
  <si>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</si>
  <si>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</si>
  <si>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</si>
  <si>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</si>
  <si>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</si>
  <si>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</si>
  <si>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</si>
  <si>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</si>
  <si>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</si>
  <si>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</si>
  <si>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</si>
  <si>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</si>
  <si>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</si>
  <si>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</si>
  <si>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</si>
  <si>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</si>
  <si>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</si>
  <si>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</si>
  <si>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</si>
  <si>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</si>
  <si>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</si>
  <si>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</si>
  <si>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</si>
  <si>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</si>
  <si>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</si>
  <si>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</si>
  <si>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</si>
  <si>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</si>
  <si>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</si>
  <si>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</si>
  <si>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</si>
  <si>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</si>
  <si>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</si>
  <si>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</si>
  <si>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</si>
  <si>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</si>
  <si>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</si>
  <si>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</si>
  <si>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</si>
  <si>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</si>
  <si>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</si>
  <si>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</si>
  <si>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</si>
  <si>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</si>
  <si>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</si>
  <si>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</si>
  <si>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</si>
  <si>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</si>
  <si>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</si>
  <si>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</si>
  <si>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</si>
  <si>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</si>
  <si>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</si>
  <si>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</si>
  <si>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</si>
  <si>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</si>
  <si>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</si>
  <si>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</si>
  <si>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</si>
  <si>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</si>
  <si>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</si>
  <si>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</si>
  <si>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</si>
  <si>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</si>
  <si>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</si>
  <si>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</si>
  <si>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</si>
  <si>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</si>
  <si>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</si>
  <si>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</si>
  <si>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</si>
  <si>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</si>
  <si>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</si>
  <si>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</si>
  <si>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</si>
  <si>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</si>
  <si>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</si>
  <si>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</si>
  <si>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</si>
  <si>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</si>
  <si>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</si>
  <si>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</si>
  <si>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</si>
  <si>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</si>
  <si>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</si>
  <si>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</si>
  <si>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</si>
  <si>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</si>
  <si>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</si>
  <si>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</si>
  <si>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</si>
  <si>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</si>
  <si>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</si>
  <si>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</si>
  <si>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</si>
  <si>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</si>
  <si>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</si>
  <si>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</si>
  <si>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</si>
  <si>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</si>
  <si>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</si>
  <si>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</si>
  <si>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</si>
  <si>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</si>
  <si>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</si>
  <si>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</si>
  <si>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</si>
  <si>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</si>
  <si>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</si>
  <si>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</si>
  <si>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</si>
  <si>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</si>
  <si>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</si>
  <si>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</si>
  <si>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</si>
  <si>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</si>
  <si>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</si>
  <si>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</si>
  <si>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</si>
  <si>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</si>
  <si>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</si>
  <si>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</si>
  <si>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</si>
  <si>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</si>
  <si>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</si>
  <si>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</si>
  <si>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</si>
  <si>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</si>
  <si>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</si>
  <si>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</si>
  <si>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</si>
  <si>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</si>
  <si>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</si>
  <si>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</si>
  <si>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</si>
  <si>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</si>
  <si>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</si>
  <si>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</si>
  <si>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</si>
  <si>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</si>
  <si>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</si>
  <si>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</si>
  <si>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</si>
  <si>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</si>
  <si>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</si>
  <si>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</si>
  <si>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</si>
  <si>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</si>
  <si>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</si>
  <si>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</si>
  <si>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</si>
  <si>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</si>
  <si>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</si>
  <si>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</si>
  <si>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</si>
  <si>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</si>
  <si>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</si>
  <si>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</si>
  <si>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</si>
  <si>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</si>
  <si>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</si>
  <si>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</si>
  <si>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</si>
  <si>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</si>
  <si>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</si>
  <si>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</si>
  <si>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</si>
  <si>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</si>
  <si>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</si>
  <si>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</si>
  <si>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</si>
  <si>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</si>
  <si>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</si>
  <si>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</si>
  <si>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</si>
  <si>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</si>
  <si>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</si>
  <si>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</si>
  <si>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</si>
  <si>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</si>
  <si>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</si>
  <si>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</si>
  <si>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</si>
  <si>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</si>
  <si>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</si>
  <si>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</si>
  <si>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</si>
  <si>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</si>
  <si>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</si>
  <si>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</si>
  <si>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</si>
  <si>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</si>
  <si>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</si>
  <si>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</si>
  <si>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</si>
  <si>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</si>
  <si>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</si>
  <si>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</si>
  <si>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</si>
  <si>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</si>
  <si>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</si>
  <si>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</si>
  <si>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</si>
  <si>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</si>
  <si>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</si>
  <si>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</si>
  <si>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</si>
  <si>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</si>
  <si>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</si>
  <si>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</si>
  <si>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</si>
  <si>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</si>
  <si>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</si>
  <si>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</si>
  <si>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</si>
  <si>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</si>
  <si>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</si>
  <si>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</si>
  <si>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</si>
  <si>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</si>
  <si>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</si>
  <si>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</si>
  <si>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</si>
  <si>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</si>
  <si>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</si>
  <si>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</si>
  <si>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</si>
  <si>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</si>
  <si>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</si>
  <si>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</si>
  <si>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</si>
  <si>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</si>
  <si>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</si>
  <si>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</si>
  <si>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</si>
  <si>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</si>
  <si>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</si>
  <si>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</si>
  <si>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</si>
  <si>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</si>
  <si>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</si>
  <si>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</si>
  <si>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</si>
  <si>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</si>
  <si>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</si>
  <si>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</si>
  <si>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</si>
  <si>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</si>
  <si>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</si>
  <si>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</si>
  <si>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</si>
  <si>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</si>
  <si>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</si>
  <si>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</si>
  <si>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</si>
  <si>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</si>
  <si>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</si>
  <si>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</si>
  <si>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</si>
  <si>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</si>
  <si>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</si>
  <si>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</si>
  <si>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</si>
  <si>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</si>
  <si>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</si>
  <si>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</si>
  <si>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</si>
  <si>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</si>
  <si>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</si>
  <si>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</si>
  <si>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</si>
  <si>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</si>
  <si>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</si>
  <si>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</si>
  <si>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</si>
  <si>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</si>
  <si>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</si>
  <si>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</si>
  <si>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</si>
  <si>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</si>
  <si>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</si>
  <si>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</si>
  <si>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</si>
  <si>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</si>
  <si>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</si>
  <si>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</si>
  <si>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</si>
  <si>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</si>
  <si>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</si>
  <si>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</si>
  <si>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</si>
  <si>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</si>
  <si>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</si>
  <si>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</si>
  <si>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</si>
  <si>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</si>
  <si>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</si>
  <si>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</si>
  <si>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</si>
  <si>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</si>
  <si>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</si>
  <si>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</si>
  <si>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</si>
  <si>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</si>
  <si>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</si>
  <si>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</si>
  <si>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</si>
  <si>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</si>
  <si>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</si>
  <si>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</si>
  <si>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</si>
  <si>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</si>
  <si>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</si>
  <si>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</si>
  <si>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</si>
  <si>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</si>
  <si>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</si>
  <si>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</si>
  <si>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</si>
  <si>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</si>
  <si>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</si>
  <si>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</si>
  <si>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</si>
  <si>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</si>
  <si>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</si>
  <si>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</si>
  <si>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</si>
  <si>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</si>
  <si>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</si>
  <si>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</si>
  <si>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</si>
  <si>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</si>
  <si>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</si>
  <si>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</si>
  <si>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</si>
  <si>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</si>
  <si>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</si>
  <si>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</si>
  <si>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</si>
  <si>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</si>
  <si>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</si>
  <si>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</si>
  <si>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</si>
  <si>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</si>
  <si>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</si>
  <si>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</si>
  <si>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</si>
  <si>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</si>
  <si>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</si>
  <si>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</si>
  <si>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</si>
  <si>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</si>
  <si>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</si>
  <si>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</si>
  <si>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</si>
  <si>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</si>
  <si>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</si>
  <si>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</si>
  <si>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</si>
  <si>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</si>
  <si>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</si>
  <si>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</si>
  <si>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</si>
  <si>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</si>
  <si>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</si>
  <si>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</si>
  <si>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</si>
  <si>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</si>
  <si>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</si>
  <si>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</si>
  <si>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</si>
  <si>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</si>
  <si>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</si>
  <si>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</si>
  <si>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</si>
  <si>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</si>
  <si>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</si>
  <si>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</si>
  <si>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</si>
  <si>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</si>
  <si>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</si>
  <si>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</si>
  <si>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</si>
  <si>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</si>
  <si>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</si>
  <si>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</si>
  <si>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</si>
  <si>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</si>
  <si>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</si>
  <si>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</si>
  <si>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</si>
  <si>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</si>
  <si>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</si>
  <si>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</si>
  <si>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</si>
  <si>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</si>
  <si>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</si>
  <si>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</si>
  <si>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</si>
  <si>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</si>
  <si>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</si>
  <si>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</si>
  <si>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</si>
  <si>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</si>
  <si>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</si>
  <si>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</si>
  <si>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</si>
  <si>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</si>
  <si>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</si>
  <si>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</si>
  <si>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</si>
  <si>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</si>
  <si>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</si>
  <si>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</si>
  <si>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</si>
  <si>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</si>
  <si>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</si>
  <si>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</si>
  <si>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</si>
  <si>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</si>
  <si>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</si>
  <si>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</si>
  <si>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</si>
  <si>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</si>
  <si>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</si>
  <si>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</si>
  <si>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</si>
  <si>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</si>
  <si>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</si>
  <si>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</si>
  <si>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</si>
  <si>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</si>
  <si>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</si>
  <si>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</si>
  <si>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</si>
  <si>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</si>
  <si>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</si>
  <si>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</si>
  <si>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</si>
  <si>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</si>
  <si>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</si>
  <si>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</si>
  <si>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</si>
  <si>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</si>
  <si>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</si>
  <si>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</si>
  <si>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</si>
  <si>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</si>
  <si>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</si>
  <si>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</si>
  <si>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</si>
  <si>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</si>
  <si>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</si>
  <si>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</si>
  <si>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</si>
  <si>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</si>
  <si>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</si>
  <si>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</si>
  <si>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</si>
  <si>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</si>
  <si>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</si>
  <si>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</si>
  <si>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</si>
  <si>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</si>
  <si>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</si>
  <si>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</si>
  <si>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</si>
  <si>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</si>
  <si>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</si>
  <si>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</si>
  <si>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</si>
  <si>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</si>
  <si>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</si>
  <si>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</si>
  <si>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</si>
  <si>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</si>
  <si>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</si>
  <si>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</si>
  <si>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</si>
  <si>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</si>
  <si>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</si>
  <si>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</si>
  <si>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</si>
  <si>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</si>
  <si>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</si>
  <si>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</si>
  <si>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</si>
  <si>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</si>
  <si>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</si>
  <si>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</si>
  <si>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</si>
  <si>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</si>
  <si>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</si>
  <si>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</si>
  <si>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</si>
  <si>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</si>
  <si>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</si>
  <si>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</si>
  <si>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</si>
  <si>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</si>
  <si>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</si>
  <si>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</si>
  <si>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</si>
  <si>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</si>
  <si>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</si>
  <si>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</si>
  <si>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</si>
  <si>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</si>
  <si>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</si>
  <si>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</si>
  <si>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</si>
  <si>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</si>
  <si>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</si>
  <si>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</si>
  <si>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</si>
  <si>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</si>
  <si>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</si>
  <si>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</si>
  <si>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</si>
  <si>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</si>
  <si>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</si>
  <si>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</si>
  <si>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</si>
  <si>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</si>
  <si>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</si>
  <si>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</si>
  <si>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</si>
  <si>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</si>
  <si>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</si>
  <si>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</si>
  <si>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</si>
  <si>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</si>
  <si>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</si>
  <si>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</si>
  <si>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</si>
  <si>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</si>
  <si>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</si>
  <si>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</si>
  <si>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</si>
  <si>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</si>
  <si>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</si>
  <si>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</si>
  <si>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</si>
  <si>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</si>
  <si>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</si>
  <si>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</si>
  <si>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</si>
  <si>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</si>
  <si>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</si>
  <si>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</si>
  <si>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</si>
  <si>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</si>
  <si>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</si>
  <si>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</si>
  <si>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</si>
  <si>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</si>
  <si>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</si>
  <si>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</si>
  <si>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</si>
  <si>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</si>
  <si>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</si>
  <si>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</si>
  <si>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</si>
  <si>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</si>
  <si>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</si>
  <si>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</si>
  <si>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</si>
  <si>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</si>
  <si>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</si>
  <si>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</si>
  <si>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</si>
  <si>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</si>
  <si>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</si>
  <si>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</si>
  <si>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</si>
  <si>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</si>
  <si>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</si>
  <si>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</si>
  <si>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</si>
  <si>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</si>
  <si>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</si>
  <si>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</si>
  <si>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</si>
  <si>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</si>
  <si>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</si>
  <si>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</si>
  <si>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</si>
  <si>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</si>
  <si>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</si>
  <si>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</si>
  <si>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</si>
  <si>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</si>
  <si>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</si>
  <si>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</si>
  <si>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</si>
  <si>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</si>
  <si>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</si>
  <si>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</si>
  <si>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</si>
  <si>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</si>
  <si>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</si>
  <si>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</si>
  <si>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</si>
  <si>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</si>
  <si>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</si>
  <si>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</si>
  <si>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</si>
  <si>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</si>
  <si>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</si>
  <si>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</si>
  <si>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</si>
  <si>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</si>
  <si>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</si>
  <si>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</si>
  <si>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</si>
  <si>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</si>
  <si>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</si>
  <si>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</si>
  <si>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</si>
  <si>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</si>
  <si>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</si>
  <si>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</si>
  <si>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</si>
  <si>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</si>
  <si>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</si>
  <si>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</si>
  <si>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</si>
  <si>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</si>
  <si>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</si>
  <si>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</si>
  <si>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</si>
  <si>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</si>
  <si>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</si>
  <si>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</si>
  <si>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</si>
  <si>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</si>
  <si>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</si>
  <si>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</si>
  <si>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</si>
  <si>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</si>
  <si>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</si>
  <si>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</si>
  <si>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</si>
  <si>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</si>
  <si>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</si>
  <si>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</si>
  <si>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</si>
  <si>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</si>
  <si>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</si>
  <si>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</si>
  <si>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</si>
  <si>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</si>
  <si>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</si>
  <si>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</si>
  <si>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</si>
  <si>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</si>
  <si>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</si>
  <si>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</si>
  <si>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</si>
  <si>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</si>
  <si>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</si>
  <si>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</si>
  <si>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04218680</t>
  </si>
  <si>
    <t>HR7924840081106940908</t>
  </si>
  <si>
    <t>MIHAEL SEČEN</t>
  </si>
  <si>
    <t>LILJANA SRDOČ</t>
  </si>
  <si>
    <t>051206600</t>
  </si>
  <si>
    <t>051206570</t>
  </si>
  <si>
    <t>liljana.srdoc@fina.hr</t>
  </si>
  <si>
    <t xml:space="preserve">INTERO CENTAR </t>
  </si>
  <si>
    <t>26.02.2019.</t>
  </si>
  <si>
    <t>ŽABICA 1</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</si>
</sst>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8">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6" fillId="40" borderId="0" applyNumberFormat="0" applyBorder="0" applyAlignment="0" applyProtection="0"/>
    <xf numFmtId="0" fontId="86" fillId="41" borderId="0" applyNumberFormat="0" applyBorder="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7" fillId="46" borderId="6" applyNumberFormat="0" applyAlignment="0" applyProtection="0"/>
    <xf numFmtId="0" fontId="50" fillId="0" borderId="7" applyNumberFormat="0" applyFill="0" applyAlignment="0" applyProtection="0"/>
    <xf numFmtId="0" fontId="88" fillId="47" borderId="0" applyNumberFormat="0" applyBorder="0" applyAlignment="0" applyProtection="0"/>
    <xf numFmtId="0" fontId="89" fillId="0" borderId="8" applyNumberFormat="0" applyFill="0" applyAlignment="0" applyProtection="0"/>
    <xf numFmtId="0" fontId="90" fillId="0" borderId="9" applyNumberFormat="0" applyFill="0" applyAlignment="0" applyProtection="0"/>
    <xf numFmtId="0" fontId="91" fillId="0" borderId="10" applyNumberFormat="0" applyFill="0" applyAlignment="0" applyProtection="0"/>
    <xf numFmtId="0" fontId="91" fillId="0" borderId="0" applyNumberFormat="0" applyFill="0" applyBorder="0" applyAlignment="0" applyProtection="0"/>
    <xf numFmtId="0" fontId="51" fillId="48" borderId="0" applyNumberFormat="0" applyBorder="0" applyAlignment="0" applyProtection="0"/>
    <xf numFmtId="0" fontId="92"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3" fillId="0" borderId="13" applyNumberFormat="0" applyFill="0" applyAlignment="0" applyProtection="0"/>
    <xf numFmtId="0" fontId="94" fillId="51" borderId="14" applyNumberFormat="0" applyAlignment="0" applyProtection="0"/>
    <xf numFmtId="0" fontId="95"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6" fillId="0" borderId="16" applyNumberFormat="0" applyFill="0" applyAlignment="0" applyProtection="0"/>
    <xf numFmtId="0" fontId="97"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0" fontId="33" fillId="0" borderId="40" xfId="98" applyNumberFormat="1" applyFont="1" applyFill="1" applyBorder="1" applyAlignment="1">
      <alignment horizontal="right" vertical="center"/>
      <protection/>
    </xf>
    <xf numFmtId="180"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76"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6"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6"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76"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76"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0"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76"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0" fontId="33" fillId="0" borderId="53" xfId="98" applyNumberFormat="1" applyFont="1" applyFill="1" applyBorder="1" applyAlignment="1">
      <alignment horizontal="right" vertical="center"/>
      <protection/>
    </xf>
    <xf numFmtId="180"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0"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76"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76" fontId="33" fillId="0" borderId="69" xfId="91" applyNumberFormat="1" applyFont="1" applyFill="1" applyBorder="1" applyAlignment="1">
      <alignment horizontal="center" vertical="center"/>
      <protection/>
    </xf>
    <xf numFmtId="176"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91"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5" applyNumberFormat="1" applyFont="1" applyFill="1" applyBorder="1" applyAlignment="1" applyProtection="1">
      <alignment horizontal="left"/>
      <protection hidden="1"/>
    </xf>
    <xf numFmtId="193"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8" xfId="0" applyFill="1" applyBorder="1" applyAlignment="1">
      <alignment/>
    </xf>
    <xf numFmtId="0" fontId="4" fillId="50" borderId="79" xfId="0" applyFont="1" applyFill="1" applyBorder="1" applyAlignment="1">
      <alignment horizontal="right" vertical="center"/>
    </xf>
    <xf numFmtId="0" fontId="4" fillId="50" borderId="80"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91" applyNumberFormat="1" applyFont="1" applyFill="1" applyBorder="1" applyAlignment="1">
      <alignment horizontal="left" vertical="center"/>
      <protection/>
    </xf>
    <xf numFmtId="176" fontId="33" fillId="0" borderId="82" xfId="91" applyNumberFormat="1" applyFont="1" applyFill="1" applyBorder="1" applyAlignment="1">
      <alignment horizontal="center" vertical="center"/>
      <protection/>
    </xf>
    <xf numFmtId="180" fontId="33" fillId="0" borderId="82" xfId="0" applyNumberFormat="1" applyFont="1" applyFill="1" applyBorder="1" applyAlignment="1" applyProtection="1">
      <alignment horizontal="right" vertical="center"/>
      <protection hidden="1"/>
    </xf>
    <xf numFmtId="49" fontId="58" fillId="0" borderId="83" xfId="91" applyNumberFormat="1" applyFont="1" applyFill="1" applyBorder="1" applyAlignment="1">
      <alignment horizontal="left" vertical="center"/>
      <protection/>
    </xf>
    <xf numFmtId="176" fontId="33" fillId="0" borderId="84" xfId="91"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76" fontId="33" fillId="0" borderId="26" xfId="91"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6"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8"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4" fillId="58" borderId="99" xfId="0" applyFont="1" applyFill="1" applyBorder="1" applyAlignment="1" applyProtection="1">
      <alignment horizontal="left" vertical="center" wrapText="1"/>
      <protection hidden="1"/>
    </xf>
    <xf numFmtId="0" fontId="84" fillId="58" borderId="34" xfId="0" applyFont="1" applyFill="1" applyBorder="1" applyAlignment="1" applyProtection="1">
      <alignment vertical="center" wrapText="1"/>
      <protection hidden="1"/>
    </xf>
    <xf numFmtId="0" fontId="84" fillId="58" borderId="100" xfId="0" applyFont="1" applyFill="1" applyBorder="1" applyAlignment="1" applyProtection="1">
      <alignment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8"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0" fontId="3" fillId="50" borderId="99"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78" xfId="95"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5"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2" xfId="0" applyFont="1" applyFill="1" applyBorder="1" applyAlignment="1" applyProtection="1">
      <alignment horizontal="center" vertical="center"/>
      <protection hidden="1"/>
    </xf>
    <xf numFmtId="0" fontId="32"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3" borderId="99" xfId="0" applyNumberFormat="1" applyFont="1" applyFill="1" applyBorder="1" applyAlignment="1" applyProtection="1">
      <alignment horizontal="left" vertical="center"/>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0" fontId="33" fillId="0" borderId="7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0" fillId="53"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85" xfId="92"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8" xfId="0" applyNumberFormat="1" applyFont="1" applyFill="1" applyBorder="1" applyAlignment="1" applyProtection="1">
      <alignment horizontal="left" vertical="center" wrapText="1"/>
      <protection/>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28"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4" xfId="95" applyNumberFormat="1" applyFont="1" applyFill="1" applyBorder="1" applyAlignment="1" applyProtection="1">
      <alignment horizontal="left" vertical="center" wrapText="1"/>
      <protection/>
    </xf>
    <xf numFmtId="0" fontId="33" fillId="0" borderId="28" xfId="95" applyNumberFormat="1" applyFont="1" applyFill="1" applyBorder="1" applyAlignment="1" applyProtection="1">
      <alignment horizontal="left" vertical="center" wrapText="1"/>
      <protection/>
    </xf>
    <xf numFmtId="0" fontId="27" fillId="38" borderId="85" xfId="92" applyFont="1" applyFill="1" applyBorder="1" applyAlignment="1">
      <alignment horizontal="center" vertical="center"/>
      <protection/>
    </xf>
    <xf numFmtId="0" fontId="4" fillId="38" borderId="105"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4" borderId="120" xfId="0" applyFont="1" applyFill="1" applyBorder="1" applyAlignment="1">
      <alignment horizontal="center" vertical="center" wrapText="1"/>
    </xf>
    <xf numFmtId="0" fontId="15"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0" fillId="0" borderId="59"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0" fontId="18" fillId="0" borderId="39" xfId="95"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28" fillId="54" borderId="125" xfId="92" applyFont="1" applyFill="1" applyBorder="1" applyAlignment="1">
      <alignment horizontal="center" vertical="center" wrapText="1"/>
      <protection/>
    </xf>
    <xf numFmtId="0" fontId="15" fillId="54" borderId="125" xfId="0" applyFont="1" applyFill="1" applyBorder="1" applyAlignment="1">
      <alignment horizontal="center" vertical="center" wrapText="1"/>
    </xf>
    <xf numFmtId="0" fontId="28"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5" fillId="54" borderId="30" xfId="0" applyFont="1" applyFill="1" applyBorder="1" applyAlignment="1">
      <alignment horizontal="center" vertical="center" wrapText="1"/>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8" borderId="128" xfId="0" applyFont="1" applyFill="1" applyBorder="1" applyAlignment="1" applyProtection="1">
      <alignment horizontal="center" vertical="center" wrapText="1"/>
      <protection hidden="1"/>
    </xf>
    <xf numFmtId="0" fontId="67" fillId="38" borderId="80"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0" fontId="18" fillId="0" borderId="129" xfId="95" applyNumberFormat="1" applyFont="1" applyFill="1" applyBorder="1" applyAlignment="1" applyProtection="1">
      <alignment horizontal="left" vertical="center"/>
      <protection/>
    </xf>
    <xf numFmtId="0" fontId="57" fillId="0" borderId="129" xfId="94" applyNumberFormat="1" applyFont="1" applyBorder="1" applyAlignment="1" applyProtection="1">
      <alignment horizontal="left" vertical="center"/>
      <protection/>
    </xf>
    <xf numFmtId="0" fontId="18" fillId="0" borderId="59" xfId="95" applyNumberFormat="1" applyFont="1" applyFill="1" applyBorder="1" applyAlignment="1" applyProtection="1">
      <alignment horizontal="left" vertical="center"/>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33" fillId="0" borderId="57" xfId="95"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05" xfId="0" applyFont="1" applyFill="1" applyBorder="1" applyAlignment="1">
      <alignment horizontal="center" vertical="center" wrapText="1"/>
    </xf>
    <xf numFmtId="0" fontId="15" fillId="54"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34" xfId="98" applyFont="1" applyBorder="1" applyAlignment="1">
      <alignment horizontal="left" vertical="center" wrapText="1"/>
      <protection/>
    </xf>
    <xf numFmtId="0" fontId="16" fillId="59" borderId="83"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46"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4"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7"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3" xfId="0" applyFont="1" applyFill="1" applyBorder="1" applyAlignment="1">
      <alignment vertical="center" wrapText="1"/>
    </xf>
    <xf numFmtId="0" fontId="33" fillId="0" borderId="145"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12" xfId="0" applyFont="1" applyFill="1" applyBorder="1" applyAlignment="1">
      <alignment vertical="center" wrapText="1"/>
    </xf>
    <xf numFmtId="0" fontId="33" fillId="0" borderId="21" xfId="0" applyFont="1" applyFill="1" applyBorder="1" applyAlignment="1">
      <alignment vertical="center" wrapText="1"/>
    </xf>
    <xf numFmtId="0" fontId="21"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74"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0" fillId="0" borderId="79" xfId="0" applyBorder="1" applyAlignment="1">
      <alignment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37" fillId="0" borderId="78" xfId="0" applyFont="1" applyFill="1" applyBorder="1" applyAlignment="1" applyProtection="1">
      <alignment vertical="center" wrapText="1"/>
      <protection hidden="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39" borderId="78"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xf numFmtId="0" fontId="20" fillId="50" borderId="78"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79"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RIJEKA</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4.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6" t="s">
        <v>3051</v>
      </c>
      <c r="C34" s="467" t="s">
        <v>1412</v>
      </c>
      <c r="D34" s="467"/>
      <c r="E34" s="467"/>
      <c r="F34" s="467"/>
      <c r="G34" s="467"/>
      <c r="H34" s="467"/>
      <c r="I34" s="467"/>
      <c r="J34" s="467"/>
      <c r="K34" s="467"/>
      <c r="L34" s="468"/>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4.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4" t="s">
        <v>610</v>
      </c>
      <c r="B1" s="535"/>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6" t="s">
        <v>2031</v>
      </c>
      <c r="D2" s="537"/>
      <c r="E2" s="537"/>
      <c r="F2" s="537"/>
      <c r="G2" s="537"/>
      <c r="H2" s="537"/>
      <c r="I2" s="537"/>
      <c r="J2" s="538"/>
      <c r="L2">
        <f>SUM(L4:L112)</f>
        <v>0</v>
      </c>
      <c r="M2">
        <f>SUM(M4:M112)</f>
        <v>0</v>
      </c>
    </row>
    <row r="3" spans="1:10" ht="19.5" customHeight="1">
      <c r="A3" s="541" t="s">
        <v>341</v>
      </c>
      <c r="B3" s="542"/>
      <c r="C3" s="542"/>
      <c r="D3" s="542"/>
      <c r="E3" s="542"/>
      <c r="F3" s="542"/>
      <c r="G3" s="542"/>
      <c r="H3" s="542"/>
      <c r="I3" s="542"/>
      <c r="J3" s="543"/>
    </row>
    <row r="4" spans="1:13" ht="50.25" customHeight="1">
      <c r="A4" s="236">
        <v>1</v>
      </c>
      <c r="B4" s="219" t="str">
        <f>IF(L4=1,"Pogreška",IF(M4=1,"Upozorenje","Ispravna"))</f>
        <v>Ispravna</v>
      </c>
      <c r="C4" s="531" t="s">
        <v>23</v>
      </c>
      <c r="D4" s="532"/>
      <c r="E4" s="532"/>
      <c r="F4" s="532"/>
      <c r="G4" s="532"/>
      <c r="H4" s="532"/>
      <c r="I4" s="532"/>
      <c r="J4" s="532"/>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31" t="s">
        <v>127</v>
      </c>
      <c r="D5" s="532"/>
      <c r="E5" s="532"/>
      <c r="F5" s="532"/>
      <c r="G5" s="532"/>
      <c r="H5" s="532"/>
      <c r="I5" s="532"/>
      <c r="J5" s="532"/>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31" t="s">
        <v>128</v>
      </c>
      <c r="D6" s="532"/>
      <c r="E6" s="532"/>
      <c r="F6" s="532"/>
      <c r="G6" s="532"/>
      <c r="H6" s="532"/>
      <c r="I6" s="532"/>
      <c r="J6" s="532"/>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3" t="s">
        <v>787</v>
      </c>
      <c r="D7" s="526"/>
      <c r="E7" s="526"/>
      <c r="F7" s="526"/>
      <c r="G7" s="526"/>
      <c r="H7" s="526"/>
      <c r="I7" s="526"/>
      <c r="J7" s="527"/>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31" t="s">
        <v>40</v>
      </c>
      <c r="D8" s="532"/>
      <c r="E8" s="532"/>
      <c r="F8" s="532"/>
      <c r="G8" s="532"/>
      <c r="H8" s="532"/>
      <c r="I8" s="532"/>
      <c r="J8" s="532"/>
      <c r="L8">
        <f>IF(OR(RefStr!D39="",RefStr!D43="",RefStr!D45=""),1,0)</f>
        <v>0</v>
      </c>
      <c r="M8">
        <v>0</v>
      </c>
    </row>
    <row r="9" spans="1:16" ht="99" customHeight="1">
      <c r="A9" s="237">
        <f t="shared" si="0"/>
        <v>6</v>
      </c>
      <c r="B9" s="219" t="str">
        <f>IF(L9=1,"Pogreška",IF(M9=1,"Upozorenje","Ispravna"))</f>
        <v>Ispravna</v>
      </c>
      <c r="C9" s="539" t="s">
        <v>1147</v>
      </c>
      <c r="D9" s="532"/>
      <c r="E9" s="532"/>
      <c r="F9" s="532"/>
      <c r="G9" s="532"/>
      <c r="H9" s="532"/>
      <c r="I9" s="532"/>
      <c r="J9" s="532"/>
      <c r="L9" s="245">
        <f>MAX(N9:O9)</f>
        <v>0</v>
      </c>
      <c r="M9">
        <v>0</v>
      </c>
      <c r="N9" s="245">
        <f>IF(MID(P9,3,1)&lt;&gt;".",1,0)</f>
        <v>0</v>
      </c>
      <c r="O9" s="245">
        <f>IF(MID(P9,7,1)&lt;&gt;",",1,0)</f>
        <v>0</v>
      </c>
      <c r="P9" s="246" t="str">
        <f>TEXT(RefStr!C9+10000.01,"#.##0,00")</f>
        <v>61.000,01</v>
      </c>
    </row>
    <row r="10" spans="1:18" ht="108.75" customHeight="1">
      <c r="A10" s="237">
        <f t="shared" si="0"/>
        <v>7</v>
      </c>
      <c r="B10" s="219" t="str">
        <f>IF(L10=1,"Pogreška",IF(M10=1,"Upozorenje","Ispravna"))</f>
        <v>Ispravna</v>
      </c>
      <c r="C10" s="539" t="s">
        <v>1759</v>
      </c>
      <c r="D10" s="540"/>
      <c r="E10" s="540"/>
      <c r="F10" s="540"/>
      <c r="G10" s="540"/>
      <c r="H10" s="540"/>
      <c r="I10" s="540"/>
      <c r="J10" s="540"/>
      <c r="L10">
        <f>MAX(N10:O10)</f>
        <v>0</v>
      </c>
      <c r="M10">
        <v>0</v>
      </c>
      <c r="N10">
        <f>IF(ISERROR(R10),0,1)</f>
        <v>0</v>
      </c>
      <c r="O10" s="245">
        <f>IF(ISERROR(Q10),0,1)</f>
        <v>0</v>
      </c>
      <c r="P10" s="246" t="str">
        <f ca="1">CELL("filename")</f>
        <v>D:\Users\lsrdoc\Desktop\[Intero-2018.xls]RefStr</v>
      </c>
      <c r="Q10" s="246" t="e">
        <f>FIND(".XLSX",UPPER(P10),1)</f>
        <v>#VALUE!</v>
      </c>
      <c r="R10" s="1" t="e">
        <f>FIND(".XLSM",UPPER(P10),1)</f>
        <v>#VALUE!</v>
      </c>
    </row>
    <row r="11" spans="1:13" ht="75" customHeight="1">
      <c r="A11" s="237">
        <f t="shared" si="0"/>
        <v>8</v>
      </c>
      <c r="B11" s="219" t="str">
        <f>IF(L11=1,"Pogreška",IF(M11=1,"Upozorenje","Ispravna"))</f>
        <v>Ispravna</v>
      </c>
      <c r="C11" s="531" t="s">
        <v>1768</v>
      </c>
      <c r="D11" s="532"/>
      <c r="E11" s="532"/>
      <c r="F11" s="532"/>
      <c r="G11" s="532"/>
      <c r="H11" s="532"/>
      <c r="I11" s="532"/>
      <c r="J11" s="532"/>
      <c r="L11">
        <f>IF(OR(RefStr!N5&gt;RefStr!N4,RefStr!O5&gt;RefStr!O4,RefStr!P5&gt;RefStr!P4),1,0)</f>
        <v>0</v>
      </c>
      <c r="M11">
        <f>IF(OR(RefStr!N5&lt;RefStr!N4,RefStr!O5&lt;RefStr!O4,RefStr!P5&lt;RefStr!P4),1,0)</f>
        <v>0</v>
      </c>
    </row>
    <row r="12" spans="1:13" ht="49.5" customHeight="1">
      <c r="A12" s="237">
        <f t="shared" si="0"/>
        <v>9</v>
      </c>
      <c r="B12" s="219" t="str">
        <f t="shared" si="1"/>
        <v>Ispravna</v>
      </c>
      <c r="C12" s="531" t="s">
        <v>24</v>
      </c>
      <c r="D12" s="532"/>
      <c r="E12" s="532"/>
      <c r="F12" s="532"/>
      <c r="G12" s="532"/>
      <c r="H12" s="532"/>
      <c r="I12" s="532"/>
      <c r="J12" s="532"/>
      <c r="L12">
        <f>IF(ISERROR(RefStr!I21),1,0)</f>
        <v>0</v>
      </c>
      <c r="M12">
        <f>IF(RefStr!I21=0,1,0)</f>
        <v>0</v>
      </c>
    </row>
    <row r="13" spans="1:10" ht="19.5" customHeight="1">
      <c r="A13" s="544" t="s">
        <v>342</v>
      </c>
      <c r="B13" s="545"/>
      <c r="C13" s="545"/>
      <c r="D13" s="545"/>
      <c r="E13" s="545"/>
      <c r="F13" s="545"/>
      <c r="G13" s="545"/>
      <c r="H13" s="545"/>
      <c r="I13" s="545"/>
      <c r="J13" s="529"/>
    </row>
    <row r="14" spans="1:13" ht="30" customHeight="1">
      <c r="A14" s="236">
        <f>INT(A12)+1</f>
        <v>10</v>
      </c>
      <c r="B14" s="219" t="str">
        <f t="shared" si="1"/>
        <v>Ispravna</v>
      </c>
      <c r="C14" s="531" t="s">
        <v>1474</v>
      </c>
      <c r="D14" s="532"/>
      <c r="E14" s="532"/>
      <c r="F14" s="532"/>
      <c r="G14" s="532"/>
      <c r="H14" s="532"/>
      <c r="I14" s="532"/>
      <c r="J14" s="532"/>
      <c r="L14" s="238">
        <f>IF(OR(PRRAS!J170*PRRAS!J171&lt;&gt;0,PRRAS!K170*PRRAS!K171&lt;&gt;0),1,0)</f>
        <v>0</v>
      </c>
      <c r="M14">
        <v>0</v>
      </c>
    </row>
    <row r="15" spans="1:13" ht="30" customHeight="1">
      <c r="A15" s="237">
        <f aca="true" t="shared" si="2" ref="A15:A22">INT(A14)+1</f>
        <v>11</v>
      </c>
      <c r="B15" s="219" t="str">
        <f t="shared" si="1"/>
        <v>Ispravna</v>
      </c>
      <c r="C15" s="533" t="s">
        <v>1103</v>
      </c>
      <c r="D15" s="526"/>
      <c r="E15" s="526"/>
      <c r="F15" s="526"/>
      <c r="G15" s="526"/>
      <c r="H15" s="526"/>
      <c r="I15" s="526"/>
      <c r="J15" s="527"/>
      <c r="K15" s="10"/>
      <c r="L15" s="238">
        <f>IF(MIN(PRRAS!J19:K69,PRRAS!J73:K174,PRRAS!J176:K183,PRRAS!J186:K191,PRRAS!J193:K194)&lt;0,1,0)</f>
        <v>0</v>
      </c>
      <c r="M15">
        <v>0</v>
      </c>
    </row>
    <row r="16" spans="1:17" ht="49.5" customHeight="1">
      <c r="A16" s="237">
        <f t="shared" si="2"/>
        <v>12</v>
      </c>
      <c r="B16" s="219" t="str">
        <f t="shared" si="1"/>
        <v>Ispravna</v>
      </c>
      <c r="C16" s="525" t="s">
        <v>1475</v>
      </c>
      <c r="D16" s="526"/>
      <c r="E16" s="526"/>
      <c r="F16" s="526"/>
      <c r="G16" s="526"/>
      <c r="H16" s="526"/>
      <c r="I16" s="526"/>
      <c r="J16" s="527"/>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31" t="s">
        <v>1427</v>
      </c>
      <c r="D17" s="532"/>
      <c r="E17" s="532"/>
      <c r="F17" s="532"/>
      <c r="G17" s="532"/>
      <c r="H17" s="532"/>
      <c r="I17" s="532"/>
      <c r="J17" s="532"/>
      <c r="L17" s="238">
        <f>IF(PraviPod707!G37&lt;&gt;0,1,0)</f>
        <v>0</v>
      </c>
      <c r="M17">
        <v>0</v>
      </c>
    </row>
    <row r="18" spans="1:13" ht="39.75" customHeight="1">
      <c r="A18" s="237">
        <f t="shared" si="2"/>
        <v>14</v>
      </c>
      <c r="B18" s="219" t="str">
        <f>IF(L18=1,"Pogreška",IF(M18=1,"Upozorenje","Ispravna"))</f>
        <v>Ispravna</v>
      </c>
      <c r="C18" s="531" t="s">
        <v>1476</v>
      </c>
      <c r="D18" s="532"/>
      <c r="E18" s="532"/>
      <c r="F18" s="532"/>
      <c r="G18" s="532"/>
      <c r="H18" s="532"/>
      <c r="I18" s="532"/>
      <c r="J18" s="532"/>
      <c r="L18" s="238">
        <f>IF(AND(PraviPod707!G29="12",PRRAS!J179&lt;&gt;PRRAS!K176,MAX(PRRAS!J19:J194)&lt;&gt;0),1,0)</f>
        <v>0</v>
      </c>
      <c r="M18">
        <v>0</v>
      </c>
    </row>
    <row r="19" spans="1:18" ht="39.75" customHeight="1">
      <c r="A19" s="237">
        <f t="shared" si="2"/>
        <v>15</v>
      </c>
      <c r="B19" s="219" t="str">
        <f>IF(L19=1,"Pogreška",IF(M19=1,"Upozorenje","Ispravna"))</f>
        <v>Ispravna</v>
      </c>
      <c r="C19" s="531" t="s">
        <v>1477</v>
      </c>
      <c r="D19" s="532"/>
      <c r="E19" s="532"/>
      <c r="F19" s="532"/>
      <c r="G19" s="532"/>
      <c r="H19" s="532"/>
      <c r="I19" s="532"/>
      <c r="J19" s="532"/>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31" t="s">
        <v>1478</v>
      </c>
      <c r="D20" s="532"/>
      <c r="E20" s="532"/>
      <c r="F20" s="532"/>
      <c r="G20" s="532"/>
      <c r="H20" s="532"/>
      <c r="I20" s="532"/>
      <c r="J20" s="532"/>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31" t="s">
        <v>1479</v>
      </c>
      <c r="D21" s="532"/>
      <c r="E21" s="532"/>
      <c r="F21" s="532"/>
      <c r="G21" s="532"/>
      <c r="H21" s="532"/>
      <c r="I21" s="532"/>
      <c r="J21" s="532"/>
      <c r="L21" s="28">
        <v>0</v>
      </c>
      <c r="M21" s="238">
        <f>IF(OR(PRRAS!J180&gt;1000,PRRAS!K180&gt;1000,PRRAS!J181&gt;1000,PRRAS!K181&gt;1000),1,0)</f>
        <v>0</v>
      </c>
    </row>
    <row r="22" spans="1:17" ht="49.5" customHeight="1">
      <c r="A22" s="237">
        <f t="shared" si="2"/>
        <v>18</v>
      </c>
      <c r="B22" s="219" t="str">
        <f>IF(L22=1,"Pogreška",IF(M22=1,"Upozorenje","Ispravna"))</f>
        <v>Ispravna</v>
      </c>
      <c r="C22" s="531" t="s">
        <v>1480</v>
      </c>
      <c r="D22" s="532"/>
      <c r="E22" s="532"/>
      <c r="F22" s="532"/>
      <c r="G22" s="532"/>
      <c r="H22" s="532"/>
      <c r="I22" s="532"/>
      <c r="J22" s="532"/>
      <c r="K22" s="10"/>
      <c r="L22">
        <v>0</v>
      </c>
      <c r="M22" s="238">
        <f>IF(OR(N22&lt;&gt;P22,O22&lt;&gt;Q22),1,0)</f>
        <v>0</v>
      </c>
      <c r="N22" s="1">
        <f>IF(AND(PRRAS!K181=0,PRRAS!K180=0),0,1)</f>
        <v>1</v>
      </c>
      <c r="O22" s="1">
        <f>IF(AND(PRRAS!J181=0,PRRAS!J180=0),0,1)</f>
        <v>1</v>
      </c>
      <c r="P22" s="1">
        <f>IF(PRRAS!K74=0,0,1)</f>
        <v>1</v>
      </c>
      <c r="Q22" s="1">
        <f>IF(PRRAS!J74=0,0,1)</f>
        <v>1</v>
      </c>
    </row>
    <row r="23" spans="1:10" ht="19.5" customHeight="1">
      <c r="A23" s="544" t="s">
        <v>344</v>
      </c>
      <c r="B23" s="545"/>
      <c r="C23" s="545"/>
      <c r="D23" s="545"/>
      <c r="E23" s="545"/>
      <c r="F23" s="545"/>
      <c r="G23" s="545"/>
      <c r="H23" s="545"/>
      <c r="I23" s="545"/>
      <c r="J23" s="529"/>
    </row>
    <row r="24" spans="1:15" ht="31.5" customHeight="1">
      <c r="A24" s="236">
        <f>INT(A22)+1</f>
        <v>19</v>
      </c>
      <c r="B24" s="219" t="str">
        <f>IF(L24=1,"Pogreška",IF(M24=1,"Upozorenje","Ispravna"))</f>
        <v>Ispravna</v>
      </c>
      <c r="C24" s="533" t="s">
        <v>666</v>
      </c>
      <c r="D24" s="526"/>
      <c r="E24" s="526"/>
      <c r="F24" s="526"/>
      <c r="G24" s="526"/>
      <c r="H24" s="526"/>
      <c r="I24" s="526"/>
      <c r="J24" s="527"/>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3" t="s">
        <v>2579</v>
      </c>
      <c r="D25" s="526"/>
      <c r="E25" s="526"/>
      <c r="F25" s="526"/>
      <c r="G25" s="526"/>
      <c r="H25" s="526"/>
      <c r="I25" s="526"/>
      <c r="J25" s="527"/>
      <c r="K25" s="10"/>
      <c r="L25" s="238">
        <f>IF(OR(BIL!J218*BIL!J219&lt;&gt;0,BIL!K218*BIL!K219&lt;&gt;0),1,0)</f>
        <v>0</v>
      </c>
      <c r="M25">
        <v>0</v>
      </c>
    </row>
    <row r="26" spans="1:13" ht="66" customHeight="1">
      <c r="A26" s="237">
        <f>INT(A25)+1</f>
        <v>21</v>
      </c>
      <c r="B26" s="219" t="str">
        <f>IF(L26=1,"Pogreška",IF(M26=1,"Upozorenje","Ispravna"))</f>
        <v>Ispravna</v>
      </c>
      <c r="C26" s="531" t="s">
        <v>1427</v>
      </c>
      <c r="D26" s="532"/>
      <c r="E26" s="532"/>
      <c r="F26" s="532"/>
      <c r="G26" s="532"/>
      <c r="H26" s="532"/>
      <c r="I26" s="532"/>
      <c r="J26" s="532"/>
      <c r="L26" s="238">
        <f>IF(PraviPod708!G47&lt;&gt;0,1,0)</f>
        <v>0</v>
      </c>
      <c r="M26">
        <v>0</v>
      </c>
    </row>
    <row r="27" spans="1:13" ht="30" customHeight="1">
      <c r="A27" s="237">
        <f>INT(A26)+1</f>
        <v>22</v>
      </c>
      <c r="B27" s="219" t="str">
        <f>IF(L27=1,"Pogreška",IF(M27=1,"Upozorenje","Ispravna"))</f>
        <v>Ispravna</v>
      </c>
      <c r="C27" s="533" t="s">
        <v>2580</v>
      </c>
      <c r="D27" s="526"/>
      <c r="E27" s="526"/>
      <c r="F27" s="526"/>
      <c r="G27" s="526"/>
      <c r="H27" s="526"/>
      <c r="I27" s="526"/>
      <c r="J27" s="527"/>
      <c r="K27" s="10"/>
      <c r="L27" s="238">
        <f>IF(MIN(BIL!J19:K162,BIL!J164:K213,BIL!J215:K219,BIL!J221:K222)&lt;0,1,0)</f>
        <v>0</v>
      </c>
      <c r="M27">
        <v>0</v>
      </c>
    </row>
    <row r="28" spans="1:10" ht="19.5" customHeight="1">
      <c r="A28" s="528" t="s">
        <v>884</v>
      </c>
      <c r="B28" s="529"/>
      <c r="C28" s="529"/>
      <c r="D28" s="529"/>
      <c r="E28" s="529"/>
      <c r="F28" s="529"/>
      <c r="G28" s="529"/>
      <c r="H28" s="529"/>
      <c r="I28" s="529"/>
      <c r="J28" s="530"/>
    </row>
    <row r="29" spans="1:14" ht="76.5" customHeight="1">
      <c r="A29" s="236">
        <f>INT(A27)+1</f>
        <v>23</v>
      </c>
      <c r="B29" s="219" t="str">
        <f aca="true" t="shared" si="3" ref="B29:B34">IF(L29=1,"Pogreška",IF(M29=1,"Upozorenje","Ispravna"))</f>
        <v>Ispravna</v>
      </c>
      <c r="C29" s="531" t="s">
        <v>362</v>
      </c>
      <c r="D29" s="532"/>
      <c r="E29" s="532"/>
      <c r="F29" s="532"/>
      <c r="G29" s="532"/>
      <c r="H29" s="532"/>
      <c r="I29" s="532"/>
      <c r="J29" s="532"/>
      <c r="L29" s="238">
        <f>IF(GPRIZNPF!J33&gt;=230000,1,0)</f>
        <v>0</v>
      </c>
      <c r="M29" s="238">
        <f>IF(GPRIZNPF!K33&gt;=230000,1,0)</f>
        <v>0</v>
      </c>
      <c r="N29" s="10"/>
    </row>
    <row r="30" spans="1:14" ht="29.25" customHeight="1">
      <c r="A30" s="237">
        <f>INT(A29)+1</f>
        <v>24</v>
      </c>
      <c r="B30" s="219" t="str">
        <f t="shared" si="3"/>
        <v>Ispravna</v>
      </c>
      <c r="C30" s="531" t="s">
        <v>2143</v>
      </c>
      <c r="D30" s="532"/>
      <c r="E30" s="532"/>
      <c r="F30" s="532"/>
      <c r="G30" s="532"/>
      <c r="H30" s="532"/>
      <c r="I30" s="532"/>
      <c r="J30" s="532"/>
      <c r="L30" s="238">
        <f>IF(N30&lt;0,1,0)</f>
        <v>0</v>
      </c>
      <c r="M30">
        <v>0</v>
      </c>
      <c r="N30" s="10">
        <f>MIN(GPRIZNPF!J19:K47,GPRIZNPF!J49:K60)</f>
        <v>0</v>
      </c>
    </row>
    <row r="31" spans="1:15" ht="49.5" customHeight="1">
      <c r="A31" s="237">
        <f>INT(A30)+1</f>
        <v>25</v>
      </c>
      <c r="B31" s="219" t="str">
        <f t="shared" si="3"/>
        <v>Ispravna</v>
      </c>
      <c r="C31" s="531" t="s">
        <v>1769</v>
      </c>
      <c r="D31" s="532"/>
      <c r="E31" s="532"/>
      <c r="F31" s="532"/>
      <c r="G31" s="532"/>
      <c r="H31" s="532"/>
      <c r="I31" s="532"/>
      <c r="J31" s="532"/>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5" t="s">
        <v>1771</v>
      </c>
      <c r="D32" s="526"/>
      <c r="E32" s="526"/>
      <c r="F32" s="526"/>
      <c r="G32" s="526"/>
      <c r="H32" s="526"/>
      <c r="I32" s="526"/>
      <c r="J32" s="527"/>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31" t="s">
        <v>391</v>
      </c>
      <c r="D33" s="532"/>
      <c r="E33" s="532"/>
      <c r="F33" s="532"/>
      <c r="G33" s="532"/>
      <c r="H33" s="532"/>
      <c r="I33" s="532"/>
      <c r="J33" s="532"/>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31" t="s">
        <v>1770</v>
      </c>
      <c r="D34" s="532"/>
      <c r="E34" s="532"/>
      <c r="F34" s="532"/>
      <c r="G34" s="532"/>
      <c r="H34" s="532"/>
      <c r="I34" s="532"/>
      <c r="J34" s="532"/>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23:J23"/>
    <mergeCell ref="A13:J13"/>
    <mergeCell ref="A1:B1"/>
    <mergeCell ref="C11:J11"/>
    <mergeCell ref="C2:J2"/>
    <mergeCell ref="C4:J4"/>
    <mergeCell ref="C8:J8"/>
    <mergeCell ref="C25:J25"/>
    <mergeCell ref="C10:J10"/>
    <mergeCell ref="C12:J12"/>
    <mergeCell ref="A3:J3"/>
    <mergeCell ref="C5:J5"/>
    <mergeCell ref="C33:J33"/>
    <mergeCell ref="C29:J29"/>
    <mergeCell ref="C21:J21"/>
    <mergeCell ref="C22:J22"/>
    <mergeCell ref="C15:J15"/>
    <mergeCell ref="C17:J17"/>
    <mergeCell ref="C16:J16"/>
    <mergeCell ref="A28:J28"/>
    <mergeCell ref="C26:J26"/>
    <mergeCell ref="C20:J20"/>
    <mergeCell ref="C14:J14"/>
    <mergeCell ref="C19:J19"/>
    <mergeCell ref="C24:J24"/>
    <mergeCell ref="C18:J18"/>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7:I7"/>
    <mergeCell ref="B9:I9"/>
    <mergeCell ref="B12:I12"/>
    <mergeCell ref="B11:I11"/>
    <mergeCell ref="B10:I10"/>
    <mergeCell ref="A2:I2"/>
    <mergeCell ref="B3:I3"/>
    <mergeCell ref="B4:I4"/>
    <mergeCell ref="B5:I5"/>
    <mergeCell ref="B6:I6"/>
    <mergeCell ref="B8:I8"/>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127574</v>
      </c>
      <c r="C2" s="5">
        <f>PRRAS!K19</f>
        <v>126255</v>
      </c>
      <c r="D2" s="8">
        <v>0</v>
      </c>
      <c r="E2" s="8">
        <v>0</v>
      </c>
      <c r="F2" s="7">
        <f>A2/100*B2+A2/50*C2</f>
        <v>3800.84</v>
      </c>
      <c r="G2" s="9" t="str">
        <f>TRIM(UPPER(RefStr!C13))</f>
        <v>HR7924840081106940908</v>
      </c>
      <c r="H2" s="13">
        <v>0</v>
      </c>
      <c r="I2" s="9" t="s">
        <v>3063</v>
      </c>
      <c r="J2" s="8">
        <f aca="true" t="shared" si="0" ref="J2:J33">ABS(B2-ROUND(B2,0))+ABS(C2-ROUND(C2,0))</f>
        <v>0</v>
      </c>
    </row>
    <row r="3" spans="1:10" ht="12.75">
      <c r="A3" s="5">
        <f>PRRAS!I20</f>
        <v>2</v>
      </c>
      <c r="B3" s="5">
        <f>PRRAS!J20</f>
        <v>7505</v>
      </c>
      <c r="C3" s="5">
        <f>PRRAS!K20</f>
        <v>150</v>
      </c>
      <c r="D3" s="8">
        <v>0</v>
      </c>
      <c r="E3" s="8">
        <v>0</v>
      </c>
      <c r="F3" s="7">
        <f>A3/100*B3+A3/50*C3</f>
        <v>156.1</v>
      </c>
      <c r="G3" s="6" t="str">
        <f>TEXT(INT(VALUE(RefStr!J11)),"00000000")</f>
        <v>04218680</v>
      </c>
      <c r="I3" s="9" t="s">
        <v>3064</v>
      </c>
      <c r="J3" s="8">
        <f t="shared" si="0"/>
        <v>0</v>
      </c>
    </row>
    <row r="4" spans="1:10" ht="12.75">
      <c r="A4" s="5">
        <f>PRRAS!I21</f>
        <v>3</v>
      </c>
      <c r="B4" s="5">
        <f>PRRAS!J21</f>
        <v>0</v>
      </c>
      <c r="C4" s="5">
        <f>PRRAS!K21</f>
        <v>0</v>
      </c>
      <c r="D4" s="8">
        <v>0</v>
      </c>
      <c r="E4" s="8">
        <v>0</v>
      </c>
      <c r="F4" s="7">
        <f>A4/100*B4+A4/50*C4</f>
        <v>0</v>
      </c>
      <c r="G4" s="6" t="str">
        <f>IF(ISERROR(RefStr!C7),"-",UPPER(TRIM(RefStr!C7)))</f>
        <v>INTERO CENTAR</v>
      </c>
      <c r="I4" s="9" t="s">
        <v>3065</v>
      </c>
      <c r="J4" s="8">
        <f t="shared" si="0"/>
        <v>0</v>
      </c>
    </row>
    <row r="5" spans="1:10" ht="12.75">
      <c r="A5" s="5">
        <f>PRRAS!I22</f>
        <v>4</v>
      </c>
      <c r="B5" s="5">
        <f>PRRAS!J22</f>
        <v>7505</v>
      </c>
      <c r="C5" s="5">
        <f>PRRAS!K22</f>
        <v>150</v>
      </c>
      <c r="D5" s="8">
        <v>0</v>
      </c>
      <c r="E5" s="8">
        <v>0</v>
      </c>
      <c r="F5" s="7">
        <f aca="true" t="shared" si="1" ref="F5:F67">A5/100*B5+A5/50*C5</f>
        <v>312.2</v>
      </c>
      <c r="G5" s="6" t="str">
        <f>TEXT(INT(VALUE(RefStr!C9)),"00000")</f>
        <v>51000</v>
      </c>
      <c r="I5" s="9" t="s">
        <v>3066</v>
      </c>
      <c r="J5" s="8">
        <f t="shared" si="0"/>
        <v>0</v>
      </c>
    </row>
    <row r="6" spans="1:10" ht="12.75">
      <c r="A6" s="5">
        <f>PRRAS!I23</f>
        <v>5</v>
      </c>
      <c r="B6" s="5">
        <f>PRRAS!J23</f>
        <v>0</v>
      </c>
      <c r="C6" s="5">
        <f>PRRAS!K23</f>
        <v>0</v>
      </c>
      <c r="D6" s="8">
        <v>0</v>
      </c>
      <c r="E6" s="8">
        <v>0</v>
      </c>
      <c r="F6" s="7">
        <f t="shared" si="1"/>
        <v>0</v>
      </c>
      <c r="G6" s="6" t="str">
        <f>IF(ISERROR(RefStr!E9),"-",UPPER(TRIM(RefStr!E9)))</f>
        <v>RIJEKA</v>
      </c>
      <c r="I6" s="9" t="s">
        <v>3067</v>
      </c>
      <c r="J6" s="8">
        <f t="shared" si="0"/>
        <v>0</v>
      </c>
    </row>
    <row r="7" spans="1:10" ht="12.75">
      <c r="A7" s="5">
        <f>PRRAS!I24</f>
        <v>6</v>
      </c>
      <c r="B7" s="5">
        <f>PRRAS!J24</f>
        <v>0</v>
      </c>
      <c r="C7" s="5">
        <f>PRRAS!K24</f>
        <v>0</v>
      </c>
      <c r="D7" s="8">
        <v>0</v>
      </c>
      <c r="E7" s="8">
        <v>0</v>
      </c>
      <c r="F7" s="7">
        <f t="shared" si="1"/>
        <v>0</v>
      </c>
      <c r="G7" s="6" t="str">
        <f>IF(ISERROR(RefStr!C11),"-",(TRIM(RefStr!C11)))</f>
        <v>ŽABICA 1</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08</v>
      </c>
      <c r="I9" s="9" t="s">
        <v>3070</v>
      </c>
      <c r="J9" s="8">
        <f t="shared" si="0"/>
        <v>0</v>
      </c>
    </row>
    <row r="10" spans="1:10" ht="12.75">
      <c r="A10" s="5">
        <f>PRRAS!I27</f>
        <v>9</v>
      </c>
      <c r="B10" s="5">
        <f>PRRAS!J27</f>
        <v>0</v>
      </c>
      <c r="C10" s="5">
        <f>PRRAS!K27</f>
        <v>0</v>
      </c>
      <c r="D10" s="8">
        <v>0</v>
      </c>
      <c r="E10" s="8">
        <v>0</v>
      </c>
      <c r="F10" s="7">
        <f t="shared" si="1"/>
        <v>0</v>
      </c>
      <c r="G10" s="6" t="str">
        <f>TEXT(INT(VALUE(RefStr!C17)),"000")</f>
        <v>373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2</v>
      </c>
      <c r="C12" s="5">
        <f>PRRAS!K29</f>
        <v>0</v>
      </c>
      <c r="D12" s="8">
        <v>0</v>
      </c>
      <c r="E12" s="8">
        <v>0</v>
      </c>
      <c r="F12" s="7">
        <f t="shared" si="1"/>
        <v>0.22</v>
      </c>
      <c r="G12" s="6" t="s">
        <v>155</v>
      </c>
      <c r="I12" s="11" t="s">
        <v>2665</v>
      </c>
      <c r="J12" s="8">
        <f t="shared" si="0"/>
        <v>0</v>
      </c>
    </row>
    <row r="13" spans="1:10" ht="12.75">
      <c r="A13" s="5">
        <f>PRRAS!I30</f>
        <v>12</v>
      </c>
      <c r="B13" s="5">
        <f>PRRAS!J30</f>
        <v>2</v>
      </c>
      <c r="C13" s="5">
        <f>PRRAS!K30</f>
        <v>0</v>
      </c>
      <c r="D13" s="8">
        <v>0</v>
      </c>
      <c r="E13" s="8">
        <v>0</v>
      </c>
      <c r="F13" s="7">
        <f t="shared" si="1"/>
        <v>0.24</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2</v>
      </c>
      <c r="C16" s="5">
        <f>PRRAS!K33</f>
        <v>0</v>
      </c>
      <c r="D16" s="8">
        <v>0</v>
      </c>
      <c r="E16" s="8">
        <v>0</v>
      </c>
      <c r="F16" s="7">
        <f t="shared" si="1"/>
        <v>0.3</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MIHAEL SEČEN</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LILJANA SRDOČ</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051206600</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051206570</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liljana.srdoc@fina.hr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118847</v>
      </c>
      <c r="C25" s="5">
        <f>PRRAS!K42</f>
        <v>126105</v>
      </c>
      <c r="D25" s="8">
        <v>0</v>
      </c>
      <c r="E25" s="8">
        <v>0</v>
      </c>
      <c r="F25" s="7">
        <f t="shared" si="1"/>
        <v>89053.68</v>
      </c>
      <c r="I25" s="11" t="s">
        <v>2678</v>
      </c>
      <c r="J25" s="8">
        <f t="shared" si="0"/>
        <v>0</v>
      </c>
    </row>
    <row r="26" spans="1:10" ht="12.75">
      <c r="A26" s="5">
        <f>PRRAS!I43</f>
        <v>25</v>
      </c>
      <c r="B26" s="5">
        <f>PRRAS!J43</f>
        <v>0</v>
      </c>
      <c r="C26" s="5">
        <f>PRRAS!K43</f>
        <v>0</v>
      </c>
      <c r="D26" s="8">
        <v>0</v>
      </c>
      <c r="E26" s="8">
        <v>0</v>
      </c>
      <c r="F26" s="7">
        <f t="shared" si="1"/>
        <v>0</v>
      </c>
      <c r="G26" s="6" t="str">
        <f>MID(TRIM(RefStr!J15),1,4)</f>
        <v>2018</v>
      </c>
      <c r="I26" s="9" t="s">
        <v>2679</v>
      </c>
      <c r="J26" s="8">
        <f t="shared" si="0"/>
        <v>0</v>
      </c>
    </row>
    <row r="27" spans="1:10" ht="12.75">
      <c r="A27" s="5">
        <f>PRRAS!I44</f>
        <v>26</v>
      </c>
      <c r="B27" s="5">
        <f>PRRAS!J44</f>
        <v>0</v>
      </c>
      <c r="C27" s="5">
        <f>PRRAS!K44</f>
        <v>0</v>
      </c>
      <c r="D27" s="8">
        <v>0</v>
      </c>
      <c r="E27" s="8">
        <v>0</v>
      </c>
      <c r="F27" s="7">
        <f t="shared" si="1"/>
        <v>0</v>
      </c>
      <c r="G27" s="234">
        <f>SUM(F2:F172)</f>
        <v>4414822.37</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92994</v>
      </c>
      <c r="C31" s="5">
        <f>PRRAS!K48</f>
        <v>88906</v>
      </c>
      <c r="D31" s="8">
        <v>0</v>
      </c>
      <c r="E31" s="8">
        <v>0</v>
      </c>
      <c r="F31" s="7">
        <f t="shared" si="1"/>
        <v>81241.8</v>
      </c>
      <c r="G31" s="6">
        <v>707</v>
      </c>
      <c r="I31" s="9" t="s">
        <v>147</v>
      </c>
      <c r="J31" s="8">
        <f t="shared" si="0"/>
        <v>0</v>
      </c>
    </row>
    <row r="32" spans="1:10" ht="12.75">
      <c r="A32" s="5">
        <f>PRRAS!I49</f>
        <v>31</v>
      </c>
      <c r="B32" s="5">
        <f>PRRAS!J49</f>
        <v>92994</v>
      </c>
      <c r="C32" s="5">
        <f>PRRAS!K49</f>
        <v>88906</v>
      </c>
      <c r="D32" s="8">
        <v>0</v>
      </c>
      <c r="E32" s="8">
        <v>0</v>
      </c>
      <c r="F32" s="7">
        <f t="shared" si="1"/>
        <v>83949.86</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0</v>
      </c>
      <c r="C34" s="5">
        <f>PRRAS!K51</f>
        <v>0</v>
      </c>
      <c r="D34" s="8">
        <v>0</v>
      </c>
      <c r="E34" s="8">
        <v>0</v>
      </c>
      <c r="F34" s="7">
        <f t="shared" si="1"/>
        <v>0</v>
      </c>
      <c r="G34" s="6">
        <v>0</v>
      </c>
      <c r="I34" s="9" t="s">
        <v>150</v>
      </c>
      <c r="J34" s="8">
        <f aca="true" t="shared" si="2" ref="J34:J63">ABS(B34-ROUND(B34,0))+ABS(C34-ROUND(C34,0))</f>
        <v>0</v>
      </c>
    </row>
    <row r="35" spans="1:10" ht="12.75">
      <c r="A35" s="5">
        <f>PRRAS!I52</f>
        <v>34</v>
      </c>
      <c r="B35" s="5">
        <f>PRRAS!J52</f>
        <v>0</v>
      </c>
      <c r="C35" s="5">
        <f>PRRAS!K52</f>
        <v>0</v>
      </c>
      <c r="D35" s="8">
        <v>0</v>
      </c>
      <c r="E35" s="8">
        <v>0</v>
      </c>
      <c r="F35" s="7">
        <f t="shared" si="1"/>
        <v>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25853</v>
      </c>
      <c r="C37" s="5">
        <f>PRRAS!K54</f>
        <v>37199</v>
      </c>
      <c r="D37" s="8">
        <v>0</v>
      </c>
      <c r="E37" s="8">
        <v>0</v>
      </c>
      <c r="F37" s="7">
        <f t="shared" si="1"/>
        <v>36090.36</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90884756385</v>
      </c>
      <c r="I38" s="9" t="s">
        <v>1861</v>
      </c>
      <c r="J38" s="8">
        <f t="shared" si="2"/>
        <v>0</v>
      </c>
    </row>
    <row r="39" spans="1:10" ht="12.75">
      <c r="A39" s="5">
        <f>PRRAS!I56</f>
        <v>38</v>
      </c>
      <c r="B39" s="5">
        <f>PRRAS!J56</f>
        <v>0</v>
      </c>
      <c r="C39" s="5">
        <f>PRRAS!K56</f>
        <v>0</v>
      </c>
      <c r="D39" s="8">
        <v>0</v>
      </c>
      <c r="E39" s="8">
        <v>0</v>
      </c>
      <c r="F39" s="7">
        <f t="shared" si="1"/>
        <v>0</v>
      </c>
      <c r="G39" s="6" t="str">
        <f>TEXT(INT(VALUE(RefStr!J9)),"00000")</f>
        <v>274504</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1220</v>
      </c>
      <c r="C41" s="5">
        <f>PRRAS!K58</f>
        <v>0</v>
      </c>
      <c r="D41" s="8">
        <v>0</v>
      </c>
      <c r="E41" s="8">
        <v>0</v>
      </c>
      <c r="F41" s="7">
        <f t="shared" si="1"/>
        <v>488</v>
      </c>
      <c r="G41" s="6" t="str">
        <f>IF(RefStr!E5&lt;&gt;"",TEXT(RefStr!E5,"YYYYMMDD"),"")</f>
        <v>20180101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20181231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15049212.639999997</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1220</v>
      </c>
      <c r="C45" s="5">
        <f>PRRAS!K62</f>
        <v>0</v>
      </c>
      <c r="D45" s="8">
        <v>0</v>
      </c>
      <c r="E45" s="8">
        <v>0</v>
      </c>
      <c r="F45" s="7">
        <f t="shared" si="1"/>
        <v>536.8</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118489</v>
      </c>
      <c r="C55" s="5">
        <f>PRRAS!K73</f>
        <v>129518</v>
      </c>
      <c r="D55" s="8">
        <v>0</v>
      </c>
      <c r="E55" s="8">
        <v>0</v>
      </c>
      <c r="F55" s="7">
        <f t="shared" si="1"/>
        <v>203863.5</v>
      </c>
      <c r="J55" s="8">
        <f t="shared" si="2"/>
        <v>0</v>
      </c>
    </row>
    <row r="56" spans="1:10" ht="12.75">
      <c r="A56" s="5">
        <f>PRRAS!I74</f>
        <v>55</v>
      </c>
      <c r="B56" s="5">
        <f>PRRAS!J74</f>
        <v>80629</v>
      </c>
      <c r="C56" s="5">
        <f>PRRAS!K74</f>
        <v>90632</v>
      </c>
      <c r="D56" s="8">
        <v>0</v>
      </c>
      <c r="E56" s="8">
        <v>0</v>
      </c>
      <c r="F56" s="7">
        <f t="shared" si="1"/>
        <v>144041.15000000002</v>
      </c>
      <c r="J56" s="8">
        <f t="shared" si="2"/>
        <v>0</v>
      </c>
    </row>
    <row r="57" spans="1:10" ht="12.75">
      <c r="A57" s="5">
        <f>PRRAS!I75</f>
        <v>56</v>
      </c>
      <c r="B57" s="5">
        <f>PRRAS!J75</f>
        <v>68796</v>
      </c>
      <c r="C57" s="5">
        <f>PRRAS!K75</f>
        <v>72236</v>
      </c>
      <c r="D57" s="8">
        <v>0</v>
      </c>
      <c r="E57" s="8">
        <v>0</v>
      </c>
      <c r="F57" s="7">
        <f t="shared" si="1"/>
        <v>119430.08000000002</v>
      </c>
      <c r="J57" s="8">
        <f t="shared" si="2"/>
        <v>0</v>
      </c>
    </row>
    <row r="58" spans="1:10" ht="12.75">
      <c r="A58" s="5">
        <f>PRRAS!I76</f>
        <v>57</v>
      </c>
      <c r="B58" s="5">
        <f>PRRAS!J76</f>
        <v>68796</v>
      </c>
      <c r="C58" s="5">
        <f>PRRAS!K76</f>
        <v>72236</v>
      </c>
      <c r="D58" s="8">
        <v>0</v>
      </c>
      <c r="E58" s="8">
        <v>0</v>
      </c>
      <c r="F58" s="7">
        <f t="shared" si="1"/>
        <v>121562.75999999998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11000</v>
      </c>
      <c r="D62" s="8">
        <v>0</v>
      </c>
      <c r="E62" s="8">
        <v>0</v>
      </c>
      <c r="F62" s="7">
        <f t="shared" si="1"/>
        <v>13420</v>
      </c>
      <c r="J62" s="8">
        <f t="shared" si="2"/>
        <v>0</v>
      </c>
    </row>
    <row r="63" spans="1:10" ht="12.75">
      <c r="A63" s="5">
        <f>PRRAS!I81</f>
        <v>62</v>
      </c>
      <c r="B63" s="5">
        <f>PRRAS!J81</f>
        <v>11833</v>
      </c>
      <c r="C63" s="5">
        <f>PRRAS!K81</f>
        <v>7396</v>
      </c>
      <c r="D63" s="8">
        <v>0</v>
      </c>
      <c r="E63" s="8">
        <v>0</v>
      </c>
      <c r="F63" s="7">
        <f t="shared" si="1"/>
        <v>16507.5</v>
      </c>
      <c r="J63" s="8">
        <f t="shared" si="2"/>
        <v>0</v>
      </c>
    </row>
    <row r="64" spans="1:10" ht="12.75">
      <c r="A64" s="5">
        <f>PRRAS!I82</f>
        <v>63</v>
      </c>
      <c r="B64" s="5">
        <f>PRRAS!J82</f>
        <v>10663</v>
      </c>
      <c r="C64" s="5">
        <f>PRRAS!K82</f>
        <v>6665</v>
      </c>
      <c r="D64" s="8">
        <v>0</v>
      </c>
      <c r="E64" s="8">
        <v>0</v>
      </c>
      <c r="F64" s="7">
        <f t="shared" si="1"/>
        <v>15115.59</v>
      </c>
      <c r="J64" s="8">
        <f aca="true" t="shared" si="3" ref="J64:J95">ABS(B64-ROUND(B64,0))+ABS(C64-ROUND(C64,0))</f>
        <v>0</v>
      </c>
    </row>
    <row r="65" spans="1:10" ht="12.75">
      <c r="A65" s="5">
        <f>PRRAS!I83</f>
        <v>64</v>
      </c>
      <c r="B65" s="5">
        <f>PRRAS!J83</f>
        <v>1170</v>
      </c>
      <c r="C65" s="5">
        <f>PRRAS!K83</f>
        <v>731</v>
      </c>
      <c r="D65" s="8">
        <v>0</v>
      </c>
      <c r="E65" s="8">
        <v>0</v>
      </c>
      <c r="F65" s="7">
        <f t="shared" si="1"/>
        <v>1684.48</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35618</v>
      </c>
      <c r="C68" s="5">
        <f>PRRAS!K86</f>
        <v>35954</v>
      </c>
      <c r="D68" s="8">
        <v>0</v>
      </c>
      <c r="E68" s="8">
        <v>0</v>
      </c>
      <c r="F68" s="7">
        <f aca="true" t="shared" si="4" ref="F68:F131">A68/100*B68+A68/50*C68</f>
        <v>72042.42</v>
      </c>
      <c r="J68" s="8">
        <f t="shared" si="3"/>
        <v>0</v>
      </c>
    </row>
    <row r="69" spans="1:10" ht="12.75">
      <c r="A69" s="5">
        <f>PRRAS!I87</f>
        <v>68</v>
      </c>
      <c r="B69" s="5">
        <f>PRRAS!J87</f>
        <v>18104</v>
      </c>
      <c r="C69" s="5">
        <f>PRRAS!K87</f>
        <v>19443</v>
      </c>
      <c r="D69" s="8">
        <v>0</v>
      </c>
      <c r="E69" s="8">
        <v>0</v>
      </c>
      <c r="F69" s="7">
        <f t="shared" si="4"/>
        <v>38753.200000000004</v>
      </c>
      <c r="J69" s="8">
        <f t="shared" si="3"/>
        <v>0</v>
      </c>
    </row>
    <row r="70" spans="1:10" ht="12.75">
      <c r="A70" s="5">
        <f>PRRAS!I88</f>
        <v>69</v>
      </c>
      <c r="B70" s="5">
        <f>PRRAS!J88</f>
        <v>11192</v>
      </c>
      <c r="C70" s="5">
        <f>PRRAS!K88</f>
        <v>9075</v>
      </c>
      <c r="D70" s="8">
        <v>0</v>
      </c>
      <c r="E70" s="8">
        <v>0</v>
      </c>
      <c r="F70" s="7">
        <f t="shared" si="4"/>
        <v>20245.979999999996</v>
      </c>
      <c r="J70" s="8">
        <f t="shared" si="3"/>
        <v>0</v>
      </c>
    </row>
    <row r="71" spans="1:10" ht="12.75">
      <c r="A71" s="5">
        <f>PRRAS!I89</f>
        <v>70</v>
      </c>
      <c r="B71" s="5">
        <f>PRRAS!J89</f>
        <v>6912</v>
      </c>
      <c r="C71" s="5">
        <f>PRRAS!K89</f>
        <v>10368</v>
      </c>
      <c r="D71" s="8">
        <v>0</v>
      </c>
      <c r="E71" s="8">
        <v>0</v>
      </c>
      <c r="F71" s="7">
        <f t="shared" si="4"/>
        <v>19353.6</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11510</v>
      </c>
      <c r="C88" s="5">
        <f>PRRAS!K106</f>
        <v>14337</v>
      </c>
      <c r="D88" s="8">
        <v>0</v>
      </c>
      <c r="E88" s="8">
        <v>0</v>
      </c>
      <c r="F88" s="7">
        <f t="shared" si="4"/>
        <v>34960.08</v>
      </c>
      <c r="J88" s="8">
        <f t="shared" si="3"/>
        <v>0</v>
      </c>
    </row>
    <row r="89" spans="1:10" ht="12.75">
      <c r="A89" s="5">
        <f>PRRAS!I107</f>
        <v>88</v>
      </c>
      <c r="B89" s="5">
        <f>PRRAS!J107</f>
        <v>6</v>
      </c>
      <c r="C89" s="5">
        <f>PRRAS!K107</f>
        <v>0</v>
      </c>
      <c r="D89" s="8">
        <v>0</v>
      </c>
      <c r="E89" s="8">
        <v>0</v>
      </c>
      <c r="F89" s="7">
        <f t="shared" si="4"/>
        <v>5.28</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115</v>
      </c>
      <c r="C91" s="5">
        <f>PRRAS!K109</f>
        <v>0</v>
      </c>
      <c r="D91" s="8">
        <v>0</v>
      </c>
      <c r="E91" s="8">
        <v>0</v>
      </c>
      <c r="F91" s="7">
        <f t="shared" si="4"/>
        <v>103.5</v>
      </c>
      <c r="J91" s="8">
        <f t="shared" si="3"/>
        <v>0</v>
      </c>
    </row>
    <row r="92" spans="1:10" ht="12.75">
      <c r="A92" s="5">
        <f>PRRAS!I110</f>
        <v>91</v>
      </c>
      <c r="B92" s="5">
        <f>PRRAS!J110</f>
        <v>0</v>
      </c>
      <c r="C92" s="5">
        <f>PRRAS!K110</f>
        <v>935</v>
      </c>
      <c r="D92" s="8">
        <v>0</v>
      </c>
      <c r="E92" s="8">
        <v>0</v>
      </c>
      <c r="F92" s="7">
        <f t="shared" si="4"/>
        <v>1701.7</v>
      </c>
      <c r="J92" s="8">
        <f t="shared" si="3"/>
        <v>0</v>
      </c>
    </row>
    <row r="93" spans="1:10" ht="12.75">
      <c r="A93" s="5">
        <f>PRRAS!I111</f>
        <v>92</v>
      </c>
      <c r="B93" s="5">
        <f>PRRAS!J111</f>
        <v>1402</v>
      </c>
      <c r="C93" s="5">
        <f>PRRAS!K111</f>
        <v>8277</v>
      </c>
      <c r="D93" s="8">
        <v>0</v>
      </c>
      <c r="E93" s="8">
        <v>0</v>
      </c>
      <c r="F93" s="7">
        <f t="shared" si="4"/>
        <v>16519.52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9687</v>
      </c>
      <c r="C95" s="5">
        <f>PRRAS!K113</f>
        <v>4875</v>
      </c>
      <c r="D95" s="8">
        <v>0</v>
      </c>
      <c r="E95" s="8">
        <v>0</v>
      </c>
      <c r="F95" s="7">
        <f t="shared" si="4"/>
        <v>18270.78</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300</v>
      </c>
      <c r="C97" s="5">
        <f>PRRAS!K115</f>
        <v>250</v>
      </c>
      <c r="D97" s="8">
        <v>0</v>
      </c>
      <c r="E97" s="8">
        <v>0</v>
      </c>
      <c r="F97" s="7">
        <f t="shared" si="4"/>
        <v>768</v>
      </c>
      <c r="J97" s="8">
        <f t="shared" si="5"/>
        <v>0</v>
      </c>
    </row>
    <row r="98" spans="1:10" ht="12.75">
      <c r="A98" s="5">
        <f>PRRAS!I116</f>
        <v>97</v>
      </c>
      <c r="B98" s="5">
        <f>PRRAS!J116</f>
        <v>2199</v>
      </c>
      <c r="C98" s="5">
        <f>PRRAS!K116</f>
        <v>985</v>
      </c>
      <c r="D98" s="8">
        <v>0</v>
      </c>
      <c r="E98" s="8">
        <v>0</v>
      </c>
      <c r="F98" s="7">
        <f t="shared" si="4"/>
        <v>4043.9299999999994</v>
      </c>
      <c r="J98" s="8">
        <f t="shared" si="5"/>
        <v>0</v>
      </c>
    </row>
    <row r="99" spans="1:10" ht="12.75">
      <c r="A99" s="5">
        <f>PRRAS!I117</f>
        <v>98</v>
      </c>
      <c r="B99" s="5">
        <f>PRRAS!J117</f>
        <v>999</v>
      </c>
      <c r="C99" s="5">
        <f>PRRAS!K117</f>
        <v>107</v>
      </c>
      <c r="D99" s="8">
        <v>0</v>
      </c>
      <c r="E99" s="8">
        <v>0</v>
      </c>
      <c r="F99" s="7">
        <f t="shared" si="4"/>
        <v>1188.74</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878</v>
      </c>
      <c r="D101" s="8">
        <v>0</v>
      </c>
      <c r="E101" s="8">
        <v>0</v>
      </c>
      <c r="F101" s="7">
        <f t="shared" si="4"/>
        <v>1756</v>
      </c>
      <c r="J101" s="8">
        <f t="shared" si="5"/>
        <v>0</v>
      </c>
    </row>
    <row r="102" spans="1:10" ht="12.75">
      <c r="A102" s="5">
        <f>PRRAS!I120</f>
        <v>101</v>
      </c>
      <c r="B102" s="5">
        <f>PRRAS!J120</f>
        <v>1200</v>
      </c>
      <c r="C102" s="5">
        <f>PRRAS!K120</f>
        <v>0</v>
      </c>
      <c r="D102" s="8">
        <v>0</v>
      </c>
      <c r="E102" s="8">
        <v>0</v>
      </c>
      <c r="F102" s="7">
        <f t="shared" si="4"/>
        <v>1212</v>
      </c>
      <c r="J102" s="8">
        <f t="shared" si="5"/>
        <v>0</v>
      </c>
    </row>
    <row r="103" spans="1:10" ht="12.75">
      <c r="A103" s="5">
        <f>PRRAS!I121</f>
        <v>102</v>
      </c>
      <c r="B103" s="5">
        <f>PRRAS!J121</f>
        <v>3805</v>
      </c>
      <c r="C103" s="5">
        <f>PRRAS!K121</f>
        <v>1189</v>
      </c>
      <c r="D103" s="8">
        <v>0</v>
      </c>
      <c r="E103" s="8">
        <v>0</v>
      </c>
      <c r="F103" s="7">
        <f t="shared" si="4"/>
        <v>6306.66</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3750</v>
      </c>
      <c r="C105" s="5">
        <f>PRRAS!K123</f>
        <v>817</v>
      </c>
      <c r="D105" s="8">
        <v>0</v>
      </c>
      <c r="E105" s="8">
        <v>0</v>
      </c>
      <c r="F105" s="7">
        <f t="shared" si="4"/>
        <v>5599.360000000001</v>
      </c>
      <c r="J105" s="8">
        <f t="shared" si="5"/>
        <v>0</v>
      </c>
    </row>
    <row r="106" spans="1:10" ht="12.75">
      <c r="A106" s="5">
        <f>PRRAS!I124</f>
        <v>105</v>
      </c>
      <c r="B106" s="5">
        <f>PRRAS!J124</f>
        <v>0</v>
      </c>
      <c r="C106" s="5">
        <f>PRRAS!K124</f>
        <v>372</v>
      </c>
      <c r="D106" s="8">
        <v>0</v>
      </c>
      <c r="E106" s="8">
        <v>0</v>
      </c>
      <c r="F106" s="7">
        <f t="shared" si="4"/>
        <v>781.2</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55</v>
      </c>
      <c r="C108" s="5">
        <f>PRRAS!K126</f>
        <v>0</v>
      </c>
      <c r="D108" s="8">
        <v>0</v>
      </c>
      <c r="E108" s="8">
        <v>0</v>
      </c>
      <c r="F108" s="7">
        <f t="shared" si="4"/>
        <v>58.85</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2241</v>
      </c>
      <c r="C110" s="5">
        <f>PRRAS!K128</f>
        <v>2932</v>
      </c>
      <c r="D110" s="8">
        <v>0</v>
      </c>
      <c r="E110" s="8">
        <v>0</v>
      </c>
      <c r="F110" s="7">
        <f t="shared" si="4"/>
        <v>8834.45</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2241</v>
      </c>
      <c r="C116" s="5">
        <f>PRRAS!K134</f>
        <v>2932</v>
      </c>
      <c r="D116" s="8">
        <v>0</v>
      </c>
      <c r="E116" s="8">
        <v>0</v>
      </c>
      <c r="F116" s="7">
        <f t="shared" si="4"/>
        <v>9320.75</v>
      </c>
      <c r="J116" s="8">
        <f t="shared" si="5"/>
        <v>0</v>
      </c>
    </row>
    <row r="117" spans="1:10" ht="12.75">
      <c r="A117" s="5">
        <f>PRRAS!I135</f>
        <v>116</v>
      </c>
      <c r="B117" s="5">
        <f>PRRAS!J135</f>
        <v>1899</v>
      </c>
      <c r="C117" s="5">
        <f>PRRAS!K135</f>
        <v>1977</v>
      </c>
      <c r="D117" s="8">
        <v>0</v>
      </c>
      <c r="E117" s="8">
        <v>0</v>
      </c>
      <c r="F117" s="7">
        <f t="shared" si="4"/>
        <v>6789.48</v>
      </c>
      <c r="J117" s="8">
        <f t="shared" si="5"/>
        <v>0</v>
      </c>
    </row>
    <row r="118" spans="1:10" ht="12.75">
      <c r="A118" s="5">
        <f>PRRAS!I136</f>
        <v>117</v>
      </c>
      <c r="B118" s="5">
        <f>PRRAS!J136</f>
        <v>342</v>
      </c>
      <c r="C118" s="5">
        <f>PRRAS!K136</f>
        <v>955</v>
      </c>
      <c r="D118" s="8">
        <v>0</v>
      </c>
      <c r="E118" s="8">
        <v>0</v>
      </c>
      <c r="F118" s="7">
        <f t="shared" si="4"/>
        <v>2634.8399999999997</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1</v>
      </c>
      <c r="C129" s="5">
        <f>PRRAS!K147</f>
        <v>0</v>
      </c>
      <c r="D129" s="8">
        <v>0</v>
      </c>
      <c r="E129" s="8">
        <v>0</v>
      </c>
      <c r="F129" s="7">
        <f t="shared" si="4"/>
        <v>1.28</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1</v>
      </c>
      <c r="C135" s="5">
        <f>PRRAS!K153</f>
        <v>0</v>
      </c>
      <c r="D135" s="8">
        <v>0</v>
      </c>
      <c r="E135" s="8">
        <v>0</v>
      </c>
      <c r="F135" s="7">
        <f t="shared" si="7"/>
        <v>1.34</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1</v>
      </c>
      <c r="C137" s="5">
        <f>PRRAS!K155</f>
        <v>0</v>
      </c>
      <c r="D137" s="8">
        <v>0</v>
      </c>
      <c r="E137" s="8">
        <v>0</v>
      </c>
      <c r="F137" s="7">
        <f t="shared" si="7"/>
        <v>1.36</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118489</v>
      </c>
      <c r="C149" s="5">
        <f>PRRAS!K167</f>
        <v>129518</v>
      </c>
      <c r="D149" s="8">
        <v>0</v>
      </c>
      <c r="E149" s="8">
        <v>0</v>
      </c>
      <c r="F149" s="7">
        <f t="shared" si="7"/>
        <v>558737</v>
      </c>
      <c r="J149" s="8">
        <f t="shared" si="6"/>
        <v>0</v>
      </c>
    </row>
    <row r="150" spans="1:10" ht="12.75">
      <c r="A150" s="5">
        <f>PRRAS!I168</f>
        <v>149</v>
      </c>
      <c r="B150" s="5">
        <f>PRRAS!J168</f>
        <v>9085</v>
      </c>
      <c r="C150" s="5">
        <f>PRRAS!K168</f>
        <v>0</v>
      </c>
      <c r="D150" s="8">
        <v>0</v>
      </c>
      <c r="E150" s="8">
        <v>0</v>
      </c>
      <c r="F150" s="7">
        <f t="shared" si="7"/>
        <v>13536.65</v>
      </c>
      <c r="J150" s="8">
        <f t="shared" si="6"/>
        <v>0</v>
      </c>
    </row>
    <row r="151" spans="1:10" ht="12.75">
      <c r="A151" s="5">
        <f>PRRAS!I169</f>
        <v>150</v>
      </c>
      <c r="B151" s="5">
        <f>PRRAS!J169</f>
        <v>0</v>
      </c>
      <c r="C151" s="5">
        <f>PRRAS!K169</f>
        <v>3263</v>
      </c>
      <c r="D151" s="8">
        <v>0</v>
      </c>
      <c r="E151" s="8">
        <v>0</v>
      </c>
      <c r="F151" s="7">
        <f t="shared" si="7"/>
        <v>9789</v>
      </c>
      <c r="J151" s="8">
        <f t="shared" si="6"/>
        <v>0</v>
      </c>
    </row>
    <row r="152" spans="1:10" ht="12.75">
      <c r="A152" s="5">
        <f>PRRAS!I170</f>
        <v>151</v>
      </c>
      <c r="B152" s="5">
        <f>PRRAS!J170</f>
        <v>4902</v>
      </c>
      <c r="C152" s="5">
        <f>PRRAS!K170</f>
        <v>13987</v>
      </c>
      <c r="D152" s="8">
        <v>0</v>
      </c>
      <c r="E152" s="8">
        <v>0</v>
      </c>
      <c r="F152" s="7">
        <f t="shared" si="7"/>
        <v>49642.759999999995</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13987</v>
      </c>
      <c r="C155" s="5">
        <f>PRRAS!K173</f>
        <v>10724</v>
      </c>
      <c r="D155" s="8">
        <v>0</v>
      </c>
      <c r="E155" s="8">
        <v>0</v>
      </c>
      <c r="F155" s="7">
        <f t="shared" si="7"/>
        <v>54569.899999999994</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8934</v>
      </c>
      <c r="C157" s="5">
        <f>PRRAS!K176</f>
        <v>22988</v>
      </c>
      <c r="D157" s="8">
        <v>0</v>
      </c>
      <c r="E157" s="8">
        <v>0</v>
      </c>
      <c r="F157" s="7">
        <f>A157/100*B157+A157/50*C157</f>
        <v>85659.6</v>
      </c>
    </row>
    <row r="158" spans="1:6" ht="12.75">
      <c r="A158" s="5">
        <f>PRRAS!I177</f>
        <v>157</v>
      </c>
      <c r="B158" s="5">
        <f>PRRAS!J177</f>
        <v>229760</v>
      </c>
      <c r="C158" s="5">
        <f>PRRAS!K177</f>
        <v>258609</v>
      </c>
      <c r="D158" s="8">
        <v>0</v>
      </c>
      <c r="E158" s="8">
        <v>0</v>
      </c>
      <c r="F158" s="7">
        <f aca="true" t="shared" si="8" ref="F158:F172">A158/100*B158+A158/50*C158</f>
        <v>1172755.46</v>
      </c>
    </row>
    <row r="159" spans="1:6" ht="12.75">
      <c r="A159" s="5">
        <f>PRRAS!I178</f>
        <v>158</v>
      </c>
      <c r="B159" s="5">
        <f>PRRAS!J178</f>
        <v>215706</v>
      </c>
      <c r="C159" s="5">
        <f>PRRAS!K178</f>
        <v>263120</v>
      </c>
      <c r="D159" s="8">
        <v>0</v>
      </c>
      <c r="E159" s="8">
        <v>0</v>
      </c>
      <c r="F159" s="7">
        <f t="shared" si="8"/>
        <v>1172274.6800000002</v>
      </c>
    </row>
    <row r="160" spans="1:6" ht="12.75">
      <c r="A160" s="5">
        <f>PRRAS!I179</f>
        <v>159</v>
      </c>
      <c r="B160" s="5">
        <f>PRRAS!J179</f>
        <v>22988</v>
      </c>
      <c r="C160" s="5">
        <f>PRRAS!K179</f>
        <v>18477</v>
      </c>
      <c r="D160" s="8">
        <v>0</v>
      </c>
      <c r="E160" s="8">
        <v>0</v>
      </c>
      <c r="F160" s="7">
        <f t="shared" si="8"/>
        <v>95307.78</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4</v>
      </c>
      <c r="D172" s="8">
        <v>0</v>
      </c>
      <c r="E172" s="8">
        <v>0</v>
      </c>
      <c r="F172" s="7">
        <f t="shared" si="8"/>
        <v>20.52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23569</v>
      </c>
      <c r="C2" s="5">
        <f>BIL!K19</f>
        <v>20210</v>
      </c>
      <c r="D2" s="8">
        <v>0</v>
      </c>
      <c r="E2" s="8">
        <v>0</v>
      </c>
      <c r="F2" s="7">
        <f aca="true" t="shared" si="0" ref="F2:F65">A2/100*B2+A2/50*C2</f>
        <v>639.89</v>
      </c>
      <c r="G2" s="9" t="str">
        <f>TRIM(UPPER(RefStr!C13))</f>
        <v>HR7924840081106940908</v>
      </c>
      <c r="H2" s="13">
        <v>0</v>
      </c>
      <c r="I2" s="9" t="s">
        <v>3063</v>
      </c>
      <c r="J2" s="8">
        <f>ABS(B2-ROUND(B2,0))+ABS(C2-ROUND(C2,0))</f>
        <v>0</v>
      </c>
    </row>
    <row r="3" spans="1:10" ht="12.75">
      <c r="A3" s="5">
        <f>BIL!I20</f>
        <v>2</v>
      </c>
      <c r="B3" s="5">
        <f>BIL!J20</f>
        <v>0</v>
      </c>
      <c r="C3" s="5">
        <f>BIL!K20</f>
        <v>0</v>
      </c>
      <c r="D3" s="8">
        <v>0</v>
      </c>
      <c r="E3" s="8">
        <v>0</v>
      </c>
      <c r="F3" s="7">
        <f t="shared" si="0"/>
        <v>0</v>
      </c>
      <c r="G3" s="6" t="str">
        <f>TEXT(INT(VALUE(RefStr!J11)),"00000000")</f>
        <v>04218680</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INTERO CENTAR</v>
      </c>
      <c r="I4" s="9" t="s">
        <v>3065</v>
      </c>
      <c r="J4" s="8">
        <f t="shared" si="1"/>
        <v>0</v>
      </c>
    </row>
    <row r="5" spans="1:10" ht="12.75">
      <c r="A5" s="5">
        <f>BIL!I22</f>
        <v>4</v>
      </c>
      <c r="B5" s="5">
        <f>BIL!J22</f>
        <v>0</v>
      </c>
      <c r="C5" s="5">
        <f>BIL!K22</f>
        <v>0</v>
      </c>
      <c r="D5" s="8">
        <v>0</v>
      </c>
      <c r="E5" s="8">
        <v>0</v>
      </c>
      <c r="F5" s="7">
        <f t="shared" si="0"/>
        <v>0</v>
      </c>
      <c r="G5" s="6" t="str">
        <f>TEXT(INT(VALUE(RefStr!C9)),"00000")</f>
        <v>51000</v>
      </c>
      <c r="I5" s="9" t="s">
        <v>3066</v>
      </c>
      <c r="J5" s="8">
        <f t="shared" si="1"/>
        <v>0</v>
      </c>
    </row>
    <row r="6" spans="1:10" ht="12.75">
      <c r="A6" s="5">
        <f>BIL!I23</f>
        <v>5</v>
      </c>
      <c r="B6" s="5">
        <f>BIL!J23</f>
        <v>0</v>
      </c>
      <c r="C6" s="5">
        <f>BIL!K23</f>
        <v>0</v>
      </c>
      <c r="D6" s="8">
        <v>0</v>
      </c>
      <c r="E6" s="8">
        <v>0</v>
      </c>
      <c r="F6" s="7">
        <f t="shared" si="0"/>
        <v>0</v>
      </c>
      <c r="G6" s="6" t="str">
        <f>IF(ISERROR(RefStr!E9),"-",UPPER(TRIM(RefStr!E9)))</f>
        <v>RIJEKA</v>
      </c>
      <c r="I6" s="9" t="s">
        <v>3067</v>
      </c>
      <c r="J6" s="8">
        <f t="shared" si="1"/>
        <v>0</v>
      </c>
    </row>
    <row r="7" spans="1:10" ht="12.75">
      <c r="A7" s="5">
        <f>BIL!I24</f>
        <v>6</v>
      </c>
      <c r="B7" s="5">
        <f>BIL!J24</f>
        <v>0</v>
      </c>
      <c r="C7" s="5">
        <f>BIL!K24</f>
        <v>0</v>
      </c>
      <c r="D7" s="8">
        <v>0</v>
      </c>
      <c r="E7" s="8">
        <v>0</v>
      </c>
      <c r="F7" s="7">
        <f t="shared" si="0"/>
        <v>0</v>
      </c>
      <c r="G7" s="6" t="str">
        <f>IF(ISERROR(RefStr!C11),"-",(TRIM(RefStr!C11)))</f>
        <v>ŽABICA 1</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08</v>
      </c>
      <c r="I9" s="9" t="s">
        <v>3070</v>
      </c>
      <c r="J9" s="8">
        <f t="shared" si="1"/>
        <v>0</v>
      </c>
    </row>
    <row r="10" spans="1:10" ht="12.75">
      <c r="A10" s="5">
        <f>BIL!I27</f>
        <v>9</v>
      </c>
      <c r="B10" s="5">
        <f>BIL!J27</f>
        <v>0</v>
      </c>
      <c r="C10" s="5">
        <f>BIL!K27</f>
        <v>0</v>
      </c>
      <c r="D10" s="8">
        <v>0</v>
      </c>
      <c r="E10" s="8">
        <v>0</v>
      </c>
      <c r="F10" s="7">
        <f t="shared" si="0"/>
        <v>0</v>
      </c>
      <c r="G10" s="6" t="str">
        <f>TEXT(INT(VALUE(RefStr!C17)),"000")</f>
        <v>373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MIHAEL SEČEN</v>
      </c>
      <c r="I18" s="11" t="s">
        <v>2671</v>
      </c>
      <c r="J18" s="8">
        <f t="shared" si="1"/>
        <v>0</v>
      </c>
    </row>
    <row r="19" spans="1:10" ht="12.75">
      <c r="A19" s="5">
        <f>BIL!I36</f>
        <v>18</v>
      </c>
      <c r="B19" s="5">
        <f>BIL!J36</f>
        <v>0</v>
      </c>
      <c r="C19" s="5">
        <f>BIL!K36</f>
        <v>0</v>
      </c>
      <c r="D19" s="8">
        <v>0</v>
      </c>
      <c r="E19" s="8">
        <v>0</v>
      </c>
      <c r="F19" s="7">
        <f t="shared" si="0"/>
        <v>0</v>
      </c>
      <c r="I19" s="11" t="s">
        <v>2672</v>
      </c>
      <c r="J19" s="8">
        <f t="shared" si="1"/>
        <v>0</v>
      </c>
    </row>
    <row r="20" spans="1:10" ht="12.75">
      <c r="A20" s="5">
        <f>BIL!I37</f>
        <v>19</v>
      </c>
      <c r="B20" s="5">
        <f>BIL!J37</f>
        <v>0</v>
      </c>
      <c r="C20" s="5">
        <f>BIL!K37</f>
        <v>0</v>
      </c>
      <c r="D20" s="8">
        <v>0</v>
      </c>
      <c r="E20" s="8">
        <v>0</v>
      </c>
      <c r="F20" s="7">
        <f t="shared" si="0"/>
        <v>0</v>
      </c>
      <c r="G20" s="6" t="str">
        <f>IF(ISERROR(RefStr!D43),"-",UPPER(TRIM(RefStr!D43)))</f>
        <v>LILJANA SRDOČ</v>
      </c>
      <c r="I20" s="9" t="s">
        <v>2673</v>
      </c>
      <c r="J20" s="8">
        <f t="shared" si="1"/>
        <v>0</v>
      </c>
    </row>
    <row r="21" spans="1:10" ht="12.75">
      <c r="A21" s="5">
        <f>BIL!I38</f>
        <v>20</v>
      </c>
      <c r="B21" s="5">
        <f>BIL!J38</f>
        <v>0</v>
      </c>
      <c r="C21" s="5">
        <f>BIL!K38</f>
        <v>0</v>
      </c>
      <c r="D21" s="8">
        <v>0</v>
      </c>
      <c r="E21" s="8">
        <v>0</v>
      </c>
      <c r="F21" s="7">
        <f t="shared" si="0"/>
        <v>0</v>
      </c>
      <c r="G21" s="6" t="str">
        <f>IF(ISERROR(RefStr!D45),"-",UPPER(TRIM(RefStr!D45)))</f>
        <v>051206600</v>
      </c>
      <c r="I21" s="9" t="s">
        <v>2674</v>
      </c>
      <c r="J21" s="8">
        <f t="shared" si="1"/>
        <v>0</v>
      </c>
    </row>
    <row r="22" spans="1:10" ht="12.75">
      <c r="A22" s="5">
        <f>BIL!I39</f>
        <v>21</v>
      </c>
      <c r="B22" s="5">
        <f>BIL!J39</f>
        <v>0</v>
      </c>
      <c r="C22" s="5">
        <f>BIL!K39</f>
        <v>0</v>
      </c>
      <c r="D22" s="8">
        <v>0</v>
      </c>
      <c r="E22" s="8">
        <v>0</v>
      </c>
      <c r="F22" s="7">
        <f t="shared" si="0"/>
        <v>0</v>
      </c>
      <c r="G22" s="6" t="str">
        <f>IF(ISERROR(RefStr!D47),"-",UPPER(TRIM(RefStr!D47)))</f>
        <v>051206570</v>
      </c>
      <c r="I22" s="11" t="s">
        <v>2675</v>
      </c>
      <c r="J22" s="8">
        <f t="shared" si="1"/>
        <v>0</v>
      </c>
    </row>
    <row r="23" spans="1:10" ht="12.75">
      <c r="A23" s="5">
        <f>BIL!I40</f>
        <v>22</v>
      </c>
      <c r="B23" s="5">
        <f>BIL!J40</f>
        <v>0</v>
      </c>
      <c r="C23" s="5">
        <f>BIL!K40</f>
        <v>0</v>
      </c>
      <c r="D23" s="8">
        <v>0</v>
      </c>
      <c r="E23" s="8">
        <v>0</v>
      </c>
      <c r="F23" s="7">
        <f t="shared" si="0"/>
        <v>0</v>
      </c>
      <c r="G23" s="6" t="str">
        <f>IF(ISERROR(RefStr!D49),"-",LOWER(TRIM(RefStr!D49)))</f>
        <v>liljana.srdoc@fina.hr</v>
      </c>
      <c r="I23" s="11" t="s">
        <v>2676</v>
      </c>
      <c r="J23" s="8">
        <f t="shared" si="1"/>
        <v>0</v>
      </c>
    </row>
    <row r="24" spans="1:10" ht="12.75">
      <c r="A24" s="5">
        <f>BIL!I41</f>
        <v>23</v>
      </c>
      <c r="B24" s="5">
        <f>BIL!J41</f>
        <v>0</v>
      </c>
      <c r="C24" s="5">
        <f>BIL!K41</f>
        <v>0</v>
      </c>
      <c r="D24" s="8">
        <v>0</v>
      </c>
      <c r="E24" s="8">
        <v>0</v>
      </c>
      <c r="F24" s="7">
        <f t="shared" si="0"/>
        <v>0</v>
      </c>
      <c r="I24" s="11" t="s">
        <v>2677</v>
      </c>
      <c r="J24" s="8">
        <f t="shared" si="1"/>
        <v>0</v>
      </c>
    </row>
    <row r="25" spans="1:10" ht="12.75">
      <c r="A25" s="5">
        <f>BIL!I42</f>
        <v>24</v>
      </c>
      <c r="B25" s="5">
        <f>BIL!J42</f>
        <v>0</v>
      </c>
      <c r="C25" s="5">
        <f>BIL!K42</f>
        <v>0</v>
      </c>
      <c r="D25" s="8">
        <v>0</v>
      </c>
      <c r="E25" s="8">
        <v>0</v>
      </c>
      <c r="F25" s="7">
        <f t="shared" si="0"/>
        <v>0</v>
      </c>
      <c r="I25" s="11" t="s">
        <v>2678</v>
      </c>
      <c r="J25" s="8">
        <f t="shared" si="1"/>
        <v>0</v>
      </c>
    </row>
    <row r="26" spans="1:10" ht="12.75">
      <c r="A26" s="5">
        <f>BIL!I43</f>
        <v>25</v>
      </c>
      <c r="B26" s="5">
        <f>BIL!J43</f>
        <v>0</v>
      </c>
      <c r="C26" s="5">
        <f>BIL!K43</f>
        <v>0</v>
      </c>
      <c r="D26" s="8">
        <v>0</v>
      </c>
      <c r="E26" s="8">
        <v>0</v>
      </c>
      <c r="F26" s="7">
        <f t="shared" si="0"/>
        <v>0</v>
      </c>
      <c r="G26" s="6" t="str">
        <f>MID(TRIM(RefStr!J15),1,4)</f>
        <v>2018</v>
      </c>
      <c r="I26" s="9" t="s">
        <v>2679</v>
      </c>
      <c r="J26" s="8">
        <f t="shared" si="1"/>
        <v>0</v>
      </c>
    </row>
    <row r="27" spans="1:10" ht="12.75">
      <c r="A27" s="5">
        <f>BIL!I44</f>
        <v>26</v>
      </c>
      <c r="B27" s="5">
        <f>BIL!J44</f>
        <v>0</v>
      </c>
      <c r="C27" s="5">
        <f>BIL!K44</f>
        <v>0</v>
      </c>
      <c r="D27" s="8">
        <v>0</v>
      </c>
      <c r="E27" s="8">
        <v>0</v>
      </c>
      <c r="F27" s="7">
        <f t="shared" si="0"/>
        <v>0</v>
      </c>
      <c r="G27" s="234">
        <f>SUM(F2:F374)</f>
        <v>15049212.639999997</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90884756385</v>
      </c>
      <c r="I38" s="9" t="s">
        <v>1861</v>
      </c>
      <c r="J38" s="8">
        <f t="shared" si="1"/>
        <v>0</v>
      </c>
    </row>
    <row r="39" spans="1:10" ht="12.75">
      <c r="A39" s="5">
        <f>BIL!I56</f>
        <v>38</v>
      </c>
      <c r="B39" s="5">
        <f>BIL!J56</f>
        <v>0</v>
      </c>
      <c r="C39" s="5">
        <f>BIL!K56</f>
        <v>0</v>
      </c>
      <c r="D39" s="8">
        <v>0</v>
      </c>
      <c r="E39" s="8">
        <v>0</v>
      </c>
      <c r="F39" s="7">
        <f t="shared" si="0"/>
        <v>0</v>
      </c>
      <c r="G39" s="6" t="str">
        <f>TEXT(INT(VALUE(RefStr!J9)),"00000")</f>
        <v>274504</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20180101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20181231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15049212.639999997</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3230</v>
      </c>
      <c r="C54" s="5">
        <f>BIL!K71</f>
        <v>3230</v>
      </c>
      <c r="D54" s="8">
        <v>0</v>
      </c>
      <c r="E54" s="8">
        <v>0</v>
      </c>
      <c r="F54" s="7">
        <f t="shared" si="0"/>
        <v>5135.700000000001</v>
      </c>
      <c r="J54" s="8">
        <f t="shared" si="1"/>
        <v>0</v>
      </c>
    </row>
    <row r="55" spans="1:10" ht="12.75">
      <c r="A55" s="5">
        <f>BIL!I72</f>
        <v>54</v>
      </c>
      <c r="B55" s="5">
        <f>BIL!J72</f>
        <v>3230</v>
      </c>
      <c r="C55" s="5">
        <f>BIL!K72</f>
        <v>3230</v>
      </c>
      <c r="D55" s="8">
        <v>0</v>
      </c>
      <c r="E55" s="8">
        <v>0</v>
      </c>
      <c r="F55" s="7">
        <f t="shared" si="0"/>
        <v>5232.6</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23569</v>
      </c>
      <c r="C75" s="5">
        <f>BIL!K92</f>
        <v>20210</v>
      </c>
      <c r="D75" s="8">
        <v>0</v>
      </c>
      <c r="E75" s="8">
        <v>0</v>
      </c>
      <c r="F75" s="7">
        <f t="shared" si="2"/>
        <v>47351.86</v>
      </c>
      <c r="J75" s="8">
        <f t="shared" si="3"/>
        <v>0</v>
      </c>
    </row>
    <row r="76" spans="1:10" ht="12.75">
      <c r="A76" s="5">
        <f>BIL!I93</f>
        <v>75</v>
      </c>
      <c r="B76" s="5">
        <f>BIL!J93</f>
        <v>22988</v>
      </c>
      <c r="C76" s="5">
        <f>BIL!K93</f>
        <v>18477</v>
      </c>
      <c r="D76" s="8">
        <v>0</v>
      </c>
      <c r="E76" s="8">
        <v>0</v>
      </c>
      <c r="F76" s="7">
        <f t="shared" si="2"/>
        <v>44956.5</v>
      </c>
      <c r="J76" s="8">
        <f t="shared" si="3"/>
        <v>0</v>
      </c>
    </row>
    <row r="77" spans="1:10" ht="12.75">
      <c r="A77" s="5">
        <f>BIL!I94</f>
        <v>76</v>
      </c>
      <c r="B77" s="5">
        <f>BIL!J94</f>
        <v>22962</v>
      </c>
      <c r="C77" s="5">
        <f>BIL!K94</f>
        <v>18451</v>
      </c>
      <c r="D77" s="8">
        <v>0</v>
      </c>
      <c r="E77" s="8">
        <v>0</v>
      </c>
      <c r="F77" s="7">
        <f t="shared" si="2"/>
        <v>45496.64</v>
      </c>
      <c r="J77" s="8">
        <f t="shared" si="3"/>
        <v>0</v>
      </c>
    </row>
    <row r="78" spans="1:10" ht="12.75">
      <c r="A78" s="5">
        <f>BIL!I95</f>
        <v>77</v>
      </c>
      <c r="B78" s="5">
        <f>BIL!J95</f>
        <v>22962</v>
      </c>
      <c r="C78" s="5">
        <f>BIL!K95</f>
        <v>18451</v>
      </c>
      <c r="D78" s="8">
        <v>0</v>
      </c>
      <c r="E78" s="8">
        <v>0</v>
      </c>
      <c r="F78" s="7">
        <f t="shared" si="2"/>
        <v>46095.28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26</v>
      </c>
      <c r="C82" s="5">
        <f>BIL!K99</f>
        <v>26</v>
      </c>
      <c r="D82" s="8">
        <v>0</v>
      </c>
      <c r="E82" s="8">
        <v>0</v>
      </c>
      <c r="F82" s="7">
        <f t="shared" si="2"/>
        <v>63.18000000000001</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581</v>
      </c>
      <c r="C84" s="5">
        <f>BIL!K101</f>
        <v>581</v>
      </c>
      <c r="D84" s="8">
        <v>0</v>
      </c>
      <c r="E84" s="8">
        <v>0</v>
      </c>
      <c r="F84" s="7">
        <f t="shared" si="2"/>
        <v>1446.6899999999998</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581</v>
      </c>
      <c r="C88" s="5">
        <f>BIL!K105</f>
        <v>581</v>
      </c>
      <c r="D88" s="8">
        <v>0</v>
      </c>
      <c r="E88" s="8">
        <v>0</v>
      </c>
      <c r="F88" s="7">
        <f t="shared" si="2"/>
        <v>1516.4099999999999</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1152</v>
      </c>
      <c r="D143" s="8">
        <v>0</v>
      </c>
      <c r="E143" s="8">
        <v>0</v>
      </c>
      <c r="F143" s="7">
        <f t="shared" si="4"/>
        <v>3271.68</v>
      </c>
      <c r="J143" s="8">
        <f t="shared" si="5"/>
        <v>0</v>
      </c>
    </row>
    <row r="144" spans="1:10" ht="12.75">
      <c r="A144" s="5">
        <f>BIL!I161</f>
        <v>143</v>
      </c>
      <c r="B144" s="5">
        <f>BIL!J161</f>
        <v>0</v>
      </c>
      <c r="C144" s="5">
        <f>BIL!K161</f>
        <v>1152</v>
      </c>
      <c r="D144" s="8">
        <v>0</v>
      </c>
      <c r="E144" s="8">
        <v>0</v>
      </c>
      <c r="F144" s="7">
        <f t="shared" si="4"/>
        <v>3294.72</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23569</v>
      </c>
      <c r="C146" s="5">
        <f>BIL!K164</f>
        <v>20210</v>
      </c>
      <c r="D146" s="8">
        <v>0</v>
      </c>
      <c r="E146" s="8">
        <v>0</v>
      </c>
      <c r="F146" s="7">
        <f t="shared" si="4"/>
        <v>92784.04999999999</v>
      </c>
      <c r="J146" s="8">
        <f t="shared" si="5"/>
        <v>0</v>
      </c>
    </row>
    <row r="147" spans="1:10" ht="12.75">
      <c r="A147" s="5">
        <f>BIL!I165</f>
        <v>146</v>
      </c>
      <c r="B147" s="5">
        <f>BIL!J165</f>
        <v>9582</v>
      </c>
      <c r="C147" s="5">
        <f>BIL!K165</f>
        <v>9486</v>
      </c>
      <c r="D147" s="8">
        <v>0</v>
      </c>
      <c r="E147" s="8">
        <v>0</v>
      </c>
      <c r="F147" s="7">
        <f t="shared" si="4"/>
        <v>41688.84</v>
      </c>
      <c r="J147" s="8">
        <f t="shared" si="5"/>
        <v>0</v>
      </c>
    </row>
    <row r="148" spans="1:10" ht="12.75">
      <c r="A148" s="5">
        <f>BIL!I166</f>
        <v>147</v>
      </c>
      <c r="B148" s="5">
        <f>BIL!J166</f>
        <v>9582</v>
      </c>
      <c r="C148" s="5">
        <f>BIL!K166</f>
        <v>9295</v>
      </c>
      <c r="D148" s="8">
        <v>0</v>
      </c>
      <c r="E148" s="8">
        <v>0</v>
      </c>
      <c r="F148" s="7">
        <f t="shared" si="4"/>
        <v>41412.84</v>
      </c>
      <c r="J148" s="8">
        <f t="shared" si="5"/>
        <v>0</v>
      </c>
    </row>
    <row r="149" spans="1:10" ht="12.75">
      <c r="A149" s="5">
        <f>BIL!I167</f>
        <v>148</v>
      </c>
      <c r="B149" s="5">
        <f>BIL!J167</f>
        <v>7679</v>
      </c>
      <c r="C149" s="5">
        <f>BIL!K167</f>
        <v>7767</v>
      </c>
      <c r="D149" s="8">
        <v>0</v>
      </c>
      <c r="E149" s="8">
        <v>0</v>
      </c>
      <c r="F149" s="7">
        <f t="shared" si="4"/>
        <v>34355.24</v>
      </c>
      <c r="J149" s="8">
        <f t="shared" si="5"/>
        <v>0</v>
      </c>
    </row>
    <row r="150" spans="1:10" ht="12.75">
      <c r="A150" s="5">
        <f>BIL!I168</f>
        <v>149</v>
      </c>
      <c r="B150" s="5">
        <f>BIL!J168</f>
        <v>5242</v>
      </c>
      <c r="C150" s="5">
        <f>BIL!K168</f>
        <v>5504</v>
      </c>
      <c r="D150" s="8">
        <v>0</v>
      </c>
      <c r="E150" s="8">
        <v>0</v>
      </c>
      <c r="F150" s="7">
        <f t="shared" si="4"/>
        <v>24212.5</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1310</v>
      </c>
      <c r="C154" s="5">
        <f>BIL!K172</f>
        <v>1376</v>
      </c>
      <c r="D154" s="8">
        <v>0</v>
      </c>
      <c r="E154" s="8">
        <v>0</v>
      </c>
      <c r="F154" s="7">
        <f t="shared" si="4"/>
        <v>6214.860000000001</v>
      </c>
      <c r="J154" s="8">
        <f t="shared" si="5"/>
        <v>0</v>
      </c>
    </row>
    <row r="155" spans="1:10" ht="12.75">
      <c r="A155" s="5">
        <f>BIL!I173</f>
        <v>154</v>
      </c>
      <c r="B155" s="5">
        <f>BIL!J173</f>
        <v>1127</v>
      </c>
      <c r="C155" s="5">
        <f>BIL!K173</f>
        <v>887</v>
      </c>
      <c r="D155" s="8">
        <v>0</v>
      </c>
      <c r="E155" s="8">
        <v>0</v>
      </c>
      <c r="F155" s="7">
        <f t="shared" si="4"/>
        <v>4467.54</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1903</v>
      </c>
      <c r="C157" s="5">
        <f>BIL!K175</f>
        <v>1528</v>
      </c>
      <c r="D157" s="8">
        <v>0</v>
      </c>
      <c r="E157" s="8">
        <v>0</v>
      </c>
      <c r="F157" s="7">
        <f t="shared" si="4"/>
        <v>7736.040000000001</v>
      </c>
      <c r="J157" s="8">
        <f t="shared" si="5"/>
        <v>0</v>
      </c>
    </row>
    <row r="158" spans="1:10" ht="12.75">
      <c r="A158" s="5">
        <f>BIL!I176</f>
        <v>157</v>
      </c>
      <c r="B158" s="5">
        <f>BIL!J176</f>
        <v>1152</v>
      </c>
      <c r="C158" s="5">
        <f>BIL!K176</f>
        <v>1152</v>
      </c>
      <c r="D158" s="8">
        <v>0</v>
      </c>
      <c r="E158" s="8">
        <v>0</v>
      </c>
      <c r="F158" s="7">
        <f t="shared" si="4"/>
        <v>5425.92</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751</v>
      </c>
      <c r="C162" s="5">
        <f>BIL!K180</f>
        <v>376</v>
      </c>
      <c r="D162" s="8">
        <v>0</v>
      </c>
      <c r="E162" s="8">
        <v>0</v>
      </c>
      <c r="F162" s="7">
        <f t="shared" si="4"/>
        <v>2419.83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191</v>
      </c>
      <c r="D191" s="8">
        <v>0</v>
      </c>
      <c r="E191" s="8">
        <v>0</v>
      </c>
      <c r="F191" s="7">
        <f t="shared" si="4"/>
        <v>725.8</v>
      </c>
      <c r="J191" s="8">
        <f t="shared" si="5"/>
        <v>0</v>
      </c>
    </row>
    <row r="192" spans="1:10" ht="12.75">
      <c r="A192" s="5">
        <f>BIL!I210</f>
        <v>191</v>
      </c>
      <c r="B192" s="5">
        <f>BIL!J210</f>
        <v>0</v>
      </c>
      <c r="C192" s="5">
        <f>BIL!K210</f>
        <v>191</v>
      </c>
      <c r="D192" s="8">
        <v>0</v>
      </c>
      <c r="E192" s="8">
        <v>0</v>
      </c>
      <c r="F192" s="7">
        <f t="shared" si="4"/>
        <v>729.62</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13987</v>
      </c>
      <c r="C196" s="5">
        <f>BIL!K214</f>
        <v>10724</v>
      </c>
      <c r="D196" s="8">
        <v>0</v>
      </c>
      <c r="E196" s="8">
        <v>0</v>
      </c>
      <c r="F196" s="7">
        <f t="shared" si="6"/>
        <v>69098.25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13987</v>
      </c>
      <c r="C200" s="5">
        <f>BIL!K218</f>
        <v>10724</v>
      </c>
      <c r="D200" s="8">
        <v>0</v>
      </c>
      <c r="E200" s="8">
        <v>0</v>
      </c>
      <c r="F200" s="7">
        <f t="shared" si="6"/>
        <v>70515.65</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127574</v>
      </c>
      <c r="C204" s="5">
        <f>PRRAS!K19</f>
        <v>126255</v>
      </c>
      <c r="D204" s="8">
        <v>0</v>
      </c>
      <c r="E204" s="8">
        <v>0</v>
      </c>
      <c r="F204" s="7">
        <f t="shared" si="6"/>
        <v>771570.5199999999</v>
      </c>
      <c r="J204" s="8">
        <f t="shared" si="7"/>
        <v>0</v>
      </c>
    </row>
    <row r="205" spans="1:10" ht="12.75">
      <c r="A205" s="5">
        <f>202+PRRAS!I20</f>
        <v>204</v>
      </c>
      <c r="B205" s="5">
        <f>PRRAS!J20</f>
        <v>7505</v>
      </c>
      <c r="C205" s="5">
        <f>PRRAS!K20</f>
        <v>150</v>
      </c>
      <c r="D205" s="8">
        <v>0</v>
      </c>
      <c r="E205" s="8">
        <v>0</v>
      </c>
      <c r="F205" s="7">
        <f t="shared" si="6"/>
        <v>15922.2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7505</v>
      </c>
      <c r="C207" s="5">
        <f>PRRAS!K22</f>
        <v>150</v>
      </c>
      <c r="D207" s="8">
        <v>0</v>
      </c>
      <c r="E207" s="8">
        <v>0</v>
      </c>
      <c r="F207" s="7">
        <f t="shared" si="8"/>
        <v>16078.300000000001</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2</v>
      </c>
      <c r="C214" s="5">
        <f>PRRAS!K29</f>
        <v>0</v>
      </c>
      <c r="D214" s="8">
        <v>0</v>
      </c>
      <c r="E214" s="8">
        <v>0</v>
      </c>
      <c r="F214" s="7">
        <f t="shared" si="8"/>
        <v>4.26</v>
      </c>
      <c r="J214" s="8">
        <f t="shared" si="9"/>
        <v>0</v>
      </c>
    </row>
    <row r="215" spans="1:10" ht="12.75">
      <c r="A215" s="5">
        <f>202+PRRAS!I30</f>
        <v>214</v>
      </c>
      <c r="B215" s="5">
        <f>PRRAS!J30</f>
        <v>2</v>
      </c>
      <c r="C215" s="5">
        <f>PRRAS!K30</f>
        <v>0</v>
      </c>
      <c r="D215" s="8">
        <v>0</v>
      </c>
      <c r="E215" s="8">
        <v>0</v>
      </c>
      <c r="F215" s="7">
        <f t="shared" si="8"/>
        <v>4.28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2</v>
      </c>
      <c r="C218" s="5">
        <f>PRRAS!K33</f>
        <v>0</v>
      </c>
      <c r="D218" s="8">
        <v>0</v>
      </c>
      <c r="E218" s="8">
        <v>0</v>
      </c>
      <c r="F218" s="7">
        <f t="shared" si="8"/>
        <v>4.34</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118847</v>
      </c>
      <c r="C227" s="5">
        <f>PRRAS!K42</f>
        <v>126105</v>
      </c>
      <c r="D227" s="8">
        <v>0</v>
      </c>
      <c r="E227" s="8">
        <v>0</v>
      </c>
      <c r="F227" s="7">
        <f t="shared" si="8"/>
        <v>838588.82</v>
      </c>
      <c r="J227" s="8">
        <f t="shared" si="9"/>
        <v>0</v>
      </c>
    </row>
    <row r="228" spans="1:10" ht="12.75">
      <c r="A228" s="5">
        <f>202+PRRAS!I43</f>
        <v>227</v>
      </c>
      <c r="B228" s="5">
        <f>PRRAS!J43</f>
        <v>0</v>
      </c>
      <c r="C228" s="5">
        <f>PRRAS!K43</f>
        <v>0</v>
      </c>
      <c r="D228" s="8">
        <v>0</v>
      </c>
      <c r="E228" s="8">
        <v>0</v>
      </c>
      <c r="F228" s="7">
        <f t="shared" si="8"/>
        <v>0</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92994</v>
      </c>
      <c r="C233" s="5">
        <f>PRRAS!K48</f>
        <v>88906</v>
      </c>
      <c r="D233" s="8">
        <v>0</v>
      </c>
      <c r="E233" s="8">
        <v>0</v>
      </c>
      <c r="F233" s="7">
        <f t="shared" si="8"/>
        <v>628269.9199999999</v>
      </c>
      <c r="J233" s="8">
        <f t="shared" si="9"/>
        <v>0</v>
      </c>
    </row>
    <row r="234" spans="1:10" ht="12.75">
      <c r="A234" s="5">
        <f>202+PRRAS!I49</f>
        <v>233</v>
      </c>
      <c r="B234" s="5">
        <f>PRRAS!J49</f>
        <v>92994</v>
      </c>
      <c r="C234" s="5">
        <f>PRRAS!K49</f>
        <v>88906</v>
      </c>
      <c r="D234" s="8">
        <v>0</v>
      </c>
      <c r="E234" s="8">
        <v>0</v>
      </c>
      <c r="F234" s="7">
        <f t="shared" si="8"/>
        <v>630977.98</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0</v>
      </c>
      <c r="C236" s="5">
        <f>PRRAS!K51</f>
        <v>0</v>
      </c>
      <c r="D236" s="8">
        <v>0</v>
      </c>
      <c r="E236" s="8">
        <v>0</v>
      </c>
      <c r="F236" s="7">
        <f t="shared" si="8"/>
        <v>0</v>
      </c>
      <c r="J236" s="8">
        <f t="shared" si="9"/>
        <v>0</v>
      </c>
    </row>
    <row r="237" spans="1:10" ht="12.75">
      <c r="A237" s="5">
        <f>202+PRRAS!I52</f>
        <v>236</v>
      </c>
      <c r="B237" s="5">
        <f>PRRAS!J52</f>
        <v>0</v>
      </c>
      <c r="C237" s="5">
        <f>PRRAS!K52</f>
        <v>0</v>
      </c>
      <c r="D237" s="8">
        <v>0</v>
      </c>
      <c r="E237" s="8">
        <v>0</v>
      </c>
      <c r="F237" s="7">
        <f t="shared" si="8"/>
        <v>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25853</v>
      </c>
      <c r="C239" s="5">
        <f>PRRAS!K54</f>
        <v>37199</v>
      </c>
      <c r="D239" s="8">
        <v>0</v>
      </c>
      <c r="E239" s="8">
        <v>0</v>
      </c>
      <c r="F239" s="7">
        <f t="shared" si="8"/>
        <v>238597.38</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1220</v>
      </c>
      <c r="C243" s="5">
        <f>PRRAS!K58</f>
        <v>0</v>
      </c>
      <c r="D243" s="8">
        <v>0</v>
      </c>
      <c r="E243" s="8">
        <v>0</v>
      </c>
      <c r="F243" s="7">
        <f t="shared" si="8"/>
        <v>2952.4</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1220</v>
      </c>
      <c r="C247" s="5">
        <f>PRRAS!K62</f>
        <v>0</v>
      </c>
      <c r="D247" s="8">
        <v>0</v>
      </c>
      <c r="E247" s="8">
        <v>0</v>
      </c>
      <c r="F247" s="7">
        <f t="shared" si="8"/>
        <v>3001.2</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118489</v>
      </c>
      <c r="C257" s="5">
        <f>PRRAS!K73</f>
        <v>129518</v>
      </c>
      <c r="D257" s="8">
        <v>0</v>
      </c>
      <c r="E257" s="8">
        <v>0</v>
      </c>
      <c r="F257" s="7">
        <f t="shared" si="8"/>
        <v>966464</v>
      </c>
      <c r="J257" s="8">
        <f t="shared" si="9"/>
        <v>0</v>
      </c>
    </row>
    <row r="258" spans="1:10" ht="12.75">
      <c r="A258" s="5">
        <f>202+PRRAS!I74</f>
        <v>257</v>
      </c>
      <c r="B258" s="5">
        <f>PRRAS!J74</f>
        <v>80629</v>
      </c>
      <c r="C258" s="5">
        <f>PRRAS!K74</f>
        <v>90632</v>
      </c>
      <c r="D258" s="8">
        <v>0</v>
      </c>
      <c r="E258" s="8">
        <v>0</v>
      </c>
      <c r="F258" s="7">
        <f t="shared" si="8"/>
        <v>673065.01</v>
      </c>
      <c r="J258" s="8">
        <f t="shared" si="9"/>
        <v>0</v>
      </c>
    </row>
    <row r="259" spans="1:10" ht="12.75">
      <c r="A259" s="5">
        <f>202+PRRAS!I75</f>
        <v>258</v>
      </c>
      <c r="B259" s="5">
        <f>PRRAS!J75</f>
        <v>68796</v>
      </c>
      <c r="C259" s="5">
        <f>PRRAS!K75</f>
        <v>72236</v>
      </c>
      <c r="D259" s="8">
        <v>0</v>
      </c>
      <c r="E259" s="8">
        <v>0</v>
      </c>
      <c r="F259" s="7">
        <f t="shared" si="8"/>
        <v>550231.44</v>
      </c>
      <c r="J259" s="8">
        <f t="shared" si="9"/>
        <v>0</v>
      </c>
    </row>
    <row r="260" spans="1:10" ht="12.75">
      <c r="A260" s="5">
        <f>202+PRRAS!I76</f>
        <v>259</v>
      </c>
      <c r="B260" s="5">
        <f>PRRAS!J76</f>
        <v>68796</v>
      </c>
      <c r="C260" s="5">
        <f>PRRAS!K76</f>
        <v>72236</v>
      </c>
      <c r="D260" s="8">
        <v>0</v>
      </c>
      <c r="E260" s="8">
        <v>0</v>
      </c>
      <c r="F260" s="7">
        <f t="shared" si="8"/>
        <v>552364.12</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11000</v>
      </c>
      <c r="D264" s="8">
        <v>0</v>
      </c>
      <c r="E264" s="8">
        <v>0</v>
      </c>
      <c r="F264" s="7">
        <f t="shared" si="8"/>
        <v>57860</v>
      </c>
      <c r="J264" s="8">
        <f t="shared" si="9"/>
        <v>0</v>
      </c>
    </row>
    <row r="265" spans="1:10" ht="12.75">
      <c r="A265" s="5">
        <f>202+PRRAS!I81</f>
        <v>264</v>
      </c>
      <c r="B265" s="5">
        <f>PRRAS!J81</f>
        <v>11833</v>
      </c>
      <c r="C265" s="5">
        <f>PRRAS!K81</f>
        <v>7396</v>
      </c>
      <c r="D265" s="8">
        <v>0</v>
      </c>
      <c r="E265" s="8">
        <v>0</v>
      </c>
      <c r="F265" s="7">
        <f t="shared" si="8"/>
        <v>70290</v>
      </c>
      <c r="J265" s="8">
        <f t="shared" si="9"/>
        <v>0</v>
      </c>
    </row>
    <row r="266" spans="1:10" ht="12.75">
      <c r="A266" s="5">
        <f>202+PRRAS!I82</f>
        <v>265</v>
      </c>
      <c r="B266" s="5">
        <f>PRRAS!J82</f>
        <v>10663</v>
      </c>
      <c r="C266" s="5">
        <f>PRRAS!K82</f>
        <v>6665</v>
      </c>
      <c r="D266" s="8">
        <v>0</v>
      </c>
      <c r="E266" s="8">
        <v>0</v>
      </c>
      <c r="F266" s="7">
        <f t="shared" si="8"/>
        <v>63581.45</v>
      </c>
      <c r="J266" s="8">
        <f t="shared" si="9"/>
        <v>0</v>
      </c>
    </row>
    <row r="267" spans="1:10" ht="12.75">
      <c r="A267" s="5">
        <f>202+PRRAS!I83</f>
        <v>266</v>
      </c>
      <c r="B267" s="5">
        <f>PRRAS!J83</f>
        <v>1170</v>
      </c>
      <c r="C267" s="5">
        <f>PRRAS!K83</f>
        <v>731</v>
      </c>
      <c r="D267" s="8">
        <v>0</v>
      </c>
      <c r="E267" s="8">
        <v>0</v>
      </c>
      <c r="F267" s="7">
        <f t="shared" si="8"/>
        <v>7001.120000000001</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35618</v>
      </c>
      <c r="C270" s="5">
        <f>PRRAS!K86</f>
        <v>35954</v>
      </c>
      <c r="D270" s="8">
        <v>0</v>
      </c>
      <c r="E270" s="8">
        <v>0</v>
      </c>
      <c r="F270" s="7">
        <f t="shared" si="10"/>
        <v>289244.94</v>
      </c>
      <c r="J270" s="8">
        <f t="shared" si="11"/>
        <v>0</v>
      </c>
    </row>
    <row r="271" spans="1:10" ht="12.75">
      <c r="A271" s="5">
        <f>202+PRRAS!I87</f>
        <v>270</v>
      </c>
      <c r="B271" s="5">
        <f>PRRAS!J87</f>
        <v>18104</v>
      </c>
      <c r="C271" s="5">
        <f>PRRAS!K87</f>
        <v>19443</v>
      </c>
      <c r="D271" s="8">
        <v>0</v>
      </c>
      <c r="E271" s="8">
        <v>0</v>
      </c>
      <c r="F271" s="7">
        <f t="shared" si="10"/>
        <v>153873</v>
      </c>
      <c r="J271" s="8">
        <f t="shared" si="11"/>
        <v>0</v>
      </c>
    </row>
    <row r="272" spans="1:10" ht="12.75">
      <c r="A272" s="5">
        <f>202+PRRAS!I88</f>
        <v>271</v>
      </c>
      <c r="B272" s="5">
        <f>PRRAS!J88</f>
        <v>11192</v>
      </c>
      <c r="C272" s="5">
        <f>PRRAS!K88</f>
        <v>9075</v>
      </c>
      <c r="D272" s="8">
        <v>0</v>
      </c>
      <c r="E272" s="8">
        <v>0</v>
      </c>
      <c r="F272" s="7">
        <f t="shared" si="10"/>
        <v>79516.82</v>
      </c>
      <c r="J272" s="8">
        <f t="shared" si="11"/>
        <v>0</v>
      </c>
    </row>
    <row r="273" spans="1:10" ht="12.75">
      <c r="A273" s="5">
        <f>202+PRRAS!I89</f>
        <v>272</v>
      </c>
      <c r="B273" s="5">
        <f>PRRAS!J89</f>
        <v>6912</v>
      </c>
      <c r="C273" s="5">
        <f>PRRAS!K89</f>
        <v>10368</v>
      </c>
      <c r="D273" s="8">
        <v>0</v>
      </c>
      <c r="E273" s="8">
        <v>0</v>
      </c>
      <c r="F273" s="7">
        <f t="shared" si="10"/>
        <v>75202.56000000001</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0</v>
      </c>
      <c r="C285" s="5">
        <f>PRRAS!K101</f>
        <v>0</v>
      </c>
      <c r="D285" s="8">
        <v>0</v>
      </c>
      <c r="E285" s="8">
        <v>0</v>
      </c>
      <c r="F285" s="7">
        <f t="shared" si="10"/>
        <v>0</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0</v>
      </c>
      <c r="C287" s="5">
        <f>PRRAS!K103</f>
        <v>0</v>
      </c>
      <c r="D287" s="8">
        <v>0</v>
      </c>
      <c r="E287" s="8">
        <v>0</v>
      </c>
      <c r="F287" s="7">
        <f t="shared" si="10"/>
        <v>0</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11510</v>
      </c>
      <c r="C290" s="5">
        <f>PRRAS!K106</f>
        <v>14337</v>
      </c>
      <c r="D290" s="8">
        <v>0</v>
      </c>
      <c r="E290" s="8">
        <v>0</v>
      </c>
      <c r="F290" s="7">
        <f t="shared" si="10"/>
        <v>116131.76000000001</v>
      </c>
      <c r="J290" s="8">
        <f t="shared" si="11"/>
        <v>0</v>
      </c>
    </row>
    <row r="291" spans="1:10" ht="12.75">
      <c r="A291" s="5">
        <f>202+PRRAS!I107</f>
        <v>290</v>
      </c>
      <c r="B291" s="5">
        <f>PRRAS!J107</f>
        <v>6</v>
      </c>
      <c r="C291" s="5">
        <f>PRRAS!K107</f>
        <v>0</v>
      </c>
      <c r="D291" s="8">
        <v>0</v>
      </c>
      <c r="E291" s="8">
        <v>0</v>
      </c>
      <c r="F291" s="7">
        <f t="shared" si="10"/>
        <v>17.4</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115</v>
      </c>
      <c r="C293" s="5">
        <f>PRRAS!K109</f>
        <v>0</v>
      </c>
      <c r="D293" s="8">
        <v>0</v>
      </c>
      <c r="E293" s="8">
        <v>0</v>
      </c>
      <c r="F293" s="7">
        <f t="shared" si="10"/>
        <v>335.8</v>
      </c>
      <c r="J293" s="8">
        <f t="shared" si="11"/>
        <v>0</v>
      </c>
    </row>
    <row r="294" spans="1:10" ht="12.75">
      <c r="A294" s="5">
        <f>202+PRRAS!I110</f>
        <v>293</v>
      </c>
      <c r="B294" s="5">
        <f>PRRAS!J110</f>
        <v>0</v>
      </c>
      <c r="C294" s="5">
        <f>PRRAS!K110</f>
        <v>935</v>
      </c>
      <c r="D294" s="8">
        <v>0</v>
      </c>
      <c r="E294" s="8">
        <v>0</v>
      </c>
      <c r="F294" s="7">
        <f t="shared" si="10"/>
        <v>5479.1</v>
      </c>
      <c r="J294" s="8">
        <f t="shared" si="11"/>
        <v>0</v>
      </c>
    </row>
    <row r="295" spans="1:10" ht="12.75">
      <c r="A295" s="5">
        <f>202+PRRAS!I111</f>
        <v>294</v>
      </c>
      <c r="B295" s="5">
        <f>PRRAS!J111</f>
        <v>1402</v>
      </c>
      <c r="C295" s="5">
        <f>PRRAS!K111</f>
        <v>8277</v>
      </c>
      <c r="D295" s="8">
        <v>0</v>
      </c>
      <c r="E295" s="8">
        <v>0</v>
      </c>
      <c r="F295" s="7">
        <f t="shared" si="10"/>
        <v>52790.64</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9687</v>
      </c>
      <c r="C297" s="5">
        <f>PRRAS!K113</f>
        <v>4875</v>
      </c>
      <c r="D297" s="8">
        <v>0</v>
      </c>
      <c r="E297" s="8">
        <v>0</v>
      </c>
      <c r="F297" s="7">
        <f t="shared" si="10"/>
        <v>57533.520000000004</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300</v>
      </c>
      <c r="C299" s="5">
        <f>PRRAS!K115</f>
        <v>250</v>
      </c>
      <c r="D299" s="8">
        <v>0</v>
      </c>
      <c r="E299" s="8">
        <v>0</v>
      </c>
      <c r="F299" s="7">
        <f t="shared" si="10"/>
        <v>2384</v>
      </c>
      <c r="J299" s="8">
        <f t="shared" si="11"/>
        <v>0</v>
      </c>
    </row>
    <row r="300" spans="1:10" ht="12.75">
      <c r="A300" s="5">
        <f>202+PRRAS!I116</f>
        <v>299</v>
      </c>
      <c r="B300" s="5">
        <f>PRRAS!J116</f>
        <v>2199</v>
      </c>
      <c r="C300" s="5">
        <f>PRRAS!K116</f>
        <v>985</v>
      </c>
      <c r="D300" s="8">
        <v>0</v>
      </c>
      <c r="E300" s="8">
        <v>0</v>
      </c>
      <c r="F300" s="7">
        <f t="shared" si="10"/>
        <v>12465.310000000001</v>
      </c>
      <c r="J300" s="8">
        <f t="shared" si="11"/>
        <v>0</v>
      </c>
    </row>
    <row r="301" spans="1:10" ht="12.75">
      <c r="A301" s="5">
        <f>202+PRRAS!I117</f>
        <v>300</v>
      </c>
      <c r="B301" s="5">
        <f>PRRAS!J117</f>
        <v>999</v>
      </c>
      <c r="C301" s="5">
        <f>PRRAS!K117</f>
        <v>107</v>
      </c>
      <c r="D301" s="8">
        <v>0</v>
      </c>
      <c r="E301" s="8">
        <v>0</v>
      </c>
      <c r="F301" s="7">
        <f t="shared" si="10"/>
        <v>3639</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0</v>
      </c>
      <c r="C303" s="5">
        <f>PRRAS!K119</f>
        <v>878</v>
      </c>
      <c r="D303" s="8">
        <v>0</v>
      </c>
      <c r="E303" s="8">
        <v>0</v>
      </c>
      <c r="F303" s="7">
        <f t="shared" si="10"/>
        <v>5303.12</v>
      </c>
      <c r="J303" s="8">
        <f t="shared" si="11"/>
        <v>0</v>
      </c>
    </row>
    <row r="304" spans="1:10" ht="12.75">
      <c r="A304" s="5">
        <f>202+PRRAS!I120</f>
        <v>303</v>
      </c>
      <c r="B304" s="5">
        <f>PRRAS!J120</f>
        <v>1200</v>
      </c>
      <c r="C304" s="5">
        <f>PRRAS!K120</f>
        <v>0</v>
      </c>
      <c r="D304" s="8">
        <v>0</v>
      </c>
      <c r="E304" s="8">
        <v>0</v>
      </c>
      <c r="F304" s="7">
        <f t="shared" si="10"/>
        <v>3635.9999999999995</v>
      </c>
      <c r="J304" s="8">
        <f t="shared" si="11"/>
        <v>0</v>
      </c>
    </row>
    <row r="305" spans="1:10" ht="12.75">
      <c r="A305" s="5">
        <f>202+PRRAS!I121</f>
        <v>304</v>
      </c>
      <c r="B305" s="5">
        <f>PRRAS!J121</f>
        <v>3805</v>
      </c>
      <c r="C305" s="5">
        <f>PRRAS!K121</f>
        <v>1189</v>
      </c>
      <c r="D305" s="8">
        <v>0</v>
      </c>
      <c r="E305" s="8">
        <v>0</v>
      </c>
      <c r="F305" s="7">
        <f t="shared" si="10"/>
        <v>18796.32</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3750</v>
      </c>
      <c r="C307" s="5">
        <f>PRRAS!K123</f>
        <v>817</v>
      </c>
      <c r="D307" s="8">
        <v>0</v>
      </c>
      <c r="E307" s="8">
        <v>0</v>
      </c>
      <c r="F307" s="7">
        <f t="shared" si="10"/>
        <v>16475.04</v>
      </c>
      <c r="J307" s="8">
        <f t="shared" si="11"/>
        <v>0</v>
      </c>
    </row>
    <row r="308" spans="1:10" ht="12.75">
      <c r="A308" s="5">
        <f>202+PRRAS!I124</f>
        <v>307</v>
      </c>
      <c r="B308" s="5">
        <f>PRRAS!J124</f>
        <v>0</v>
      </c>
      <c r="C308" s="5">
        <f>PRRAS!K124</f>
        <v>372</v>
      </c>
      <c r="D308" s="8">
        <v>0</v>
      </c>
      <c r="E308" s="8">
        <v>0</v>
      </c>
      <c r="F308" s="7">
        <f t="shared" si="10"/>
        <v>2284.08</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55</v>
      </c>
      <c r="C310" s="5">
        <f>PRRAS!K126</f>
        <v>0</v>
      </c>
      <c r="D310" s="8">
        <v>0</v>
      </c>
      <c r="E310" s="8">
        <v>0</v>
      </c>
      <c r="F310" s="7">
        <f t="shared" si="10"/>
        <v>169.95</v>
      </c>
      <c r="J310" s="8">
        <f t="shared" si="11"/>
        <v>0</v>
      </c>
    </row>
    <row r="311" spans="1:10" ht="12.75">
      <c r="A311" s="5">
        <f>202+PRRAS!I127</f>
        <v>310</v>
      </c>
      <c r="B311" s="5">
        <f>PRRAS!J127</f>
        <v>0</v>
      </c>
      <c r="C311" s="5">
        <f>PRRAS!K127</f>
        <v>0</v>
      </c>
      <c r="D311" s="8">
        <v>0</v>
      </c>
      <c r="E311" s="8">
        <v>0</v>
      </c>
      <c r="F311" s="7">
        <f t="shared" si="10"/>
        <v>0</v>
      </c>
      <c r="J311" s="8">
        <f t="shared" si="11"/>
        <v>0</v>
      </c>
    </row>
    <row r="312" spans="1:10" ht="12.75">
      <c r="A312" s="5">
        <f>202+PRRAS!I128</f>
        <v>311</v>
      </c>
      <c r="B312" s="5">
        <f>PRRAS!J128</f>
        <v>2241</v>
      </c>
      <c r="C312" s="5">
        <f>PRRAS!K128</f>
        <v>2932</v>
      </c>
      <c r="D312" s="8">
        <v>0</v>
      </c>
      <c r="E312" s="8">
        <v>0</v>
      </c>
      <c r="F312" s="7">
        <f t="shared" si="10"/>
        <v>25206.55</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2241</v>
      </c>
      <c r="C318" s="5">
        <f>PRRAS!K134</f>
        <v>2932</v>
      </c>
      <c r="D318" s="8">
        <v>0</v>
      </c>
      <c r="E318" s="8">
        <v>0</v>
      </c>
      <c r="F318" s="7">
        <f t="shared" si="10"/>
        <v>25692.850000000002</v>
      </c>
      <c r="J318" s="8">
        <f t="shared" si="11"/>
        <v>0</v>
      </c>
    </row>
    <row r="319" spans="1:10" ht="12.75">
      <c r="A319" s="5">
        <f>202+PRRAS!I135</f>
        <v>318</v>
      </c>
      <c r="B319" s="5">
        <f>PRRAS!J135</f>
        <v>1899</v>
      </c>
      <c r="C319" s="5">
        <f>PRRAS!K135</f>
        <v>1977</v>
      </c>
      <c r="D319" s="8">
        <v>0</v>
      </c>
      <c r="E319" s="8">
        <v>0</v>
      </c>
      <c r="F319" s="7">
        <f t="shared" si="10"/>
        <v>18612.54</v>
      </c>
      <c r="J319" s="8">
        <f t="shared" si="11"/>
        <v>0</v>
      </c>
    </row>
    <row r="320" spans="1:10" ht="12.75">
      <c r="A320" s="5">
        <f>202+PRRAS!I136</f>
        <v>319</v>
      </c>
      <c r="B320" s="5">
        <f>PRRAS!J136</f>
        <v>342</v>
      </c>
      <c r="C320" s="5">
        <f>PRRAS!K136</f>
        <v>955</v>
      </c>
      <c r="D320" s="8">
        <v>0</v>
      </c>
      <c r="E320" s="8">
        <v>0</v>
      </c>
      <c r="F320" s="7">
        <f t="shared" si="10"/>
        <v>7183.879999999999</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1</v>
      </c>
      <c r="C331" s="5">
        <f>PRRAS!K147</f>
        <v>0</v>
      </c>
      <c r="D331" s="8">
        <v>0</v>
      </c>
      <c r="E331" s="8">
        <v>0</v>
      </c>
      <c r="F331" s="7">
        <f t="shared" si="10"/>
        <v>3.3</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1</v>
      </c>
      <c r="C337" s="5">
        <f>PRRAS!K153</f>
        <v>0</v>
      </c>
      <c r="D337" s="8">
        <v>0</v>
      </c>
      <c r="E337" s="8">
        <v>0</v>
      </c>
      <c r="F337" s="7">
        <f t="shared" si="12"/>
        <v>3.36</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1</v>
      </c>
      <c r="C339" s="5">
        <f>PRRAS!K155</f>
        <v>0</v>
      </c>
      <c r="D339" s="8">
        <v>0</v>
      </c>
      <c r="E339" s="8">
        <v>0</v>
      </c>
      <c r="F339" s="7">
        <f t="shared" si="12"/>
        <v>3.38</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118489</v>
      </c>
      <c r="C351" s="5">
        <f>PRRAS!K167</f>
        <v>129518</v>
      </c>
      <c r="D351" s="8">
        <v>0</v>
      </c>
      <c r="E351" s="8">
        <v>0</v>
      </c>
      <c r="F351" s="7">
        <f t="shared" si="12"/>
        <v>1321337.5</v>
      </c>
      <c r="J351" s="8">
        <f t="shared" si="13"/>
        <v>0</v>
      </c>
    </row>
    <row r="352" spans="1:10" ht="12.75">
      <c r="A352" s="5">
        <f>202+PRRAS!I168</f>
        <v>351</v>
      </c>
      <c r="B352" s="5">
        <f>PRRAS!J168</f>
        <v>9085</v>
      </c>
      <c r="C352" s="5">
        <f>PRRAS!K168</f>
        <v>0</v>
      </c>
      <c r="D352" s="8">
        <v>0</v>
      </c>
      <c r="E352" s="8">
        <v>0</v>
      </c>
      <c r="F352" s="7">
        <f t="shared" si="12"/>
        <v>31888.35</v>
      </c>
      <c r="J352" s="8">
        <f t="shared" si="13"/>
        <v>0</v>
      </c>
    </row>
    <row r="353" spans="1:10" ht="12.75">
      <c r="A353" s="5">
        <f>202+PRRAS!I169</f>
        <v>352</v>
      </c>
      <c r="B353" s="5">
        <f>PRRAS!J169</f>
        <v>0</v>
      </c>
      <c r="C353" s="5">
        <f>PRRAS!K169</f>
        <v>3263</v>
      </c>
      <c r="D353" s="8">
        <v>0</v>
      </c>
      <c r="E353" s="8">
        <v>0</v>
      </c>
      <c r="F353" s="7">
        <f t="shared" si="12"/>
        <v>22971.52</v>
      </c>
      <c r="J353" s="8">
        <f t="shared" si="13"/>
        <v>0</v>
      </c>
    </row>
    <row r="354" spans="1:10" ht="12.75">
      <c r="A354" s="5">
        <f>202+PRRAS!I170</f>
        <v>353</v>
      </c>
      <c r="B354" s="5">
        <f>PRRAS!J170</f>
        <v>4902</v>
      </c>
      <c r="C354" s="5">
        <f>PRRAS!K170</f>
        <v>13987</v>
      </c>
      <c r="D354" s="8">
        <v>0</v>
      </c>
      <c r="E354" s="8">
        <v>0</v>
      </c>
      <c r="F354" s="7">
        <f t="shared" si="12"/>
        <v>116052.28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13987</v>
      </c>
      <c r="C357" s="5">
        <f>PRRAS!K173</f>
        <v>10724</v>
      </c>
      <c r="D357" s="8">
        <v>0</v>
      </c>
      <c r="E357" s="8">
        <v>0</v>
      </c>
      <c r="F357" s="7">
        <f t="shared" si="12"/>
        <v>126148.6</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8934</v>
      </c>
      <c r="C359" s="5">
        <f>PRRAS!K176</f>
        <v>22988</v>
      </c>
      <c r="D359" s="8">
        <v>0</v>
      </c>
      <c r="E359" s="8">
        <v>0</v>
      </c>
      <c r="F359" s="7">
        <f t="shared" si="12"/>
        <v>196577.80000000002</v>
      </c>
      <c r="J359" s="8">
        <f t="shared" si="13"/>
        <v>0</v>
      </c>
    </row>
    <row r="360" spans="1:10" ht="12.75">
      <c r="A360" s="5">
        <f>202+PRRAS!I177</f>
        <v>359</v>
      </c>
      <c r="B360" s="5">
        <f>PRRAS!J177</f>
        <v>229760</v>
      </c>
      <c r="C360" s="5">
        <f>PRRAS!K177</f>
        <v>258609</v>
      </c>
      <c r="D360" s="8">
        <v>0</v>
      </c>
      <c r="E360" s="8">
        <v>0</v>
      </c>
      <c r="F360" s="7">
        <f t="shared" si="12"/>
        <v>2681651.02</v>
      </c>
      <c r="J360" s="8">
        <f t="shared" si="13"/>
        <v>0</v>
      </c>
    </row>
    <row r="361" spans="1:10" ht="12.75">
      <c r="A361" s="5">
        <f>202+PRRAS!I178</f>
        <v>360</v>
      </c>
      <c r="B361" s="5">
        <f>PRRAS!J178</f>
        <v>215706</v>
      </c>
      <c r="C361" s="5">
        <f>PRRAS!K178</f>
        <v>263120</v>
      </c>
      <c r="D361" s="8">
        <v>0</v>
      </c>
      <c r="E361" s="8">
        <v>0</v>
      </c>
      <c r="F361" s="7">
        <f t="shared" si="12"/>
        <v>2671005.6</v>
      </c>
      <c r="J361" s="8">
        <f t="shared" si="13"/>
        <v>0</v>
      </c>
    </row>
    <row r="362" spans="1:10" ht="12.75">
      <c r="A362" s="5">
        <f>202+PRRAS!I179</f>
        <v>361</v>
      </c>
      <c r="B362" s="5">
        <f>PRRAS!J179</f>
        <v>22988</v>
      </c>
      <c r="C362" s="5">
        <f>PRRAS!K179</f>
        <v>18477</v>
      </c>
      <c r="D362" s="8">
        <v>0</v>
      </c>
      <c r="E362" s="8">
        <v>0</v>
      </c>
      <c r="F362" s="7">
        <f t="shared" si="12"/>
        <v>216390.62</v>
      </c>
      <c r="J362" s="8">
        <f t="shared" si="13"/>
        <v>0</v>
      </c>
    </row>
    <row r="363" spans="1:10" ht="12.75">
      <c r="A363" s="5">
        <f>202+PRRAS!I180</f>
        <v>362</v>
      </c>
      <c r="B363" s="5">
        <f>PRRAS!J180</f>
        <v>2</v>
      </c>
      <c r="C363" s="5">
        <f>PRRAS!K180</f>
        <v>2</v>
      </c>
      <c r="D363" s="8">
        <v>0</v>
      </c>
      <c r="E363" s="8">
        <v>0</v>
      </c>
      <c r="F363" s="7">
        <f t="shared" si="12"/>
        <v>21.72</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4</v>
      </c>
      <c r="D374" s="8">
        <v>0</v>
      </c>
      <c r="E374" s="8">
        <v>0</v>
      </c>
      <c r="F374" s="7">
        <f>A374/100*B374+A374/50*C374</f>
        <v>44.76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HR7924840081106940908</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04218680</v>
      </c>
      <c r="I3" s="9" t="s">
        <v>3064</v>
      </c>
      <c r="J3" s="8">
        <f t="shared" si="1"/>
        <v>0</v>
      </c>
    </row>
    <row r="4" spans="1:10" ht="12.75">
      <c r="A4" s="5">
        <v>3</v>
      </c>
      <c r="B4" s="8">
        <v>0</v>
      </c>
      <c r="C4" s="8">
        <v>0</v>
      </c>
      <c r="D4" s="8">
        <v>0</v>
      </c>
      <c r="E4" s="8">
        <v>0</v>
      </c>
      <c r="F4" s="7">
        <f t="shared" si="0"/>
        <v>0</v>
      </c>
      <c r="G4" s="6" t="str">
        <f>IF(ISERROR(RefStr!C7),"-",UPPER(TRIM(RefStr!C7)))</f>
        <v>INTERO CENTAR</v>
      </c>
      <c r="I4" s="9" t="s">
        <v>3065</v>
      </c>
      <c r="J4" s="8">
        <f t="shared" si="1"/>
        <v>0</v>
      </c>
    </row>
    <row r="5" spans="1:10" ht="12.75">
      <c r="A5" s="5">
        <v>4</v>
      </c>
      <c r="B5" s="8">
        <v>0</v>
      </c>
      <c r="C5" s="8">
        <v>0</v>
      </c>
      <c r="D5" s="8">
        <v>0</v>
      </c>
      <c r="E5" s="8">
        <v>0</v>
      </c>
      <c r="F5" s="7">
        <f t="shared" si="0"/>
        <v>0</v>
      </c>
      <c r="G5" s="6" t="str">
        <f>TEXT(INT(VALUE(RefStr!C9)),"00000")</f>
        <v>51000</v>
      </c>
      <c r="I5" s="9" t="s">
        <v>3066</v>
      </c>
      <c r="J5" s="8">
        <f t="shared" si="1"/>
        <v>0</v>
      </c>
    </row>
    <row r="6" spans="1:10" ht="12.75">
      <c r="A6" s="5">
        <v>5</v>
      </c>
      <c r="B6" s="8">
        <v>0</v>
      </c>
      <c r="C6" s="8">
        <v>0</v>
      </c>
      <c r="D6" s="8">
        <v>0</v>
      </c>
      <c r="E6" s="8">
        <v>0</v>
      </c>
      <c r="F6" s="7">
        <f t="shared" si="0"/>
        <v>0</v>
      </c>
      <c r="G6" s="6" t="str">
        <f>IF(ISERROR(RefStr!E9),"-",UPPER(TRIM(RefStr!E9)))</f>
        <v>RIJEKA</v>
      </c>
      <c r="I6" s="9" t="s">
        <v>3067</v>
      </c>
      <c r="J6" s="8">
        <f t="shared" si="1"/>
        <v>0</v>
      </c>
    </row>
    <row r="7" spans="1:10" ht="12.75">
      <c r="A7" s="5">
        <v>6</v>
      </c>
      <c r="B7" s="8">
        <v>0</v>
      </c>
      <c r="C7" s="8">
        <v>0</v>
      </c>
      <c r="D7" s="8">
        <v>0</v>
      </c>
      <c r="E7" s="8">
        <v>0</v>
      </c>
      <c r="F7" s="7">
        <f t="shared" si="0"/>
        <v>0</v>
      </c>
      <c r="G7" s="6" t="str">
        <f>IF(ISERROR(RefStr!C11),"-",(TRIM(RefStr!C11)))</f>
        <v>ŽABICA 1</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08</v>
      </c>
      <c r="I9" s="9" t="s">
        <v>3070</v>
      </c>
      <c r="J9" s="8">
        <f t="shared" si="1"/>
        <v>0</v>
      </c>
    </row>
    <row r="10" spans="1:10" ht="12.75">
      <c r="A10" s="5">
        <v>9</v>
      </c>
      <c r="B10" s="8">
        <v>0</v>
      </c>
      <c r="C10" s="8">
        <v>0</v>
      </c>
      <c r="D10" s="8">
        <v>0</v>
      </c>
      <c r="E10" s="8">
        <v>0</v>
      </c>
      <c r="F10" s="7">
        <f t="shared" si="0"/>
        <v>0</v>
      </c>
      <c r="G10" s="6" t="str">
        <f>TEXT(INT(VALUE(RefStr!C17)),"000")</f>
        <v>373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MIHAEL SEČEN</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LILJANA SRDOČ</v>
      </c>
      <c r="I20" s="9" t="s">
        <v>2673</v>
      </c>
      <c r="J20" s="8">
        <f t="shared" si="1"/>
        <v>0</v>
      </c>
    </row>
    <row r="21" spans="1:10" ht="12.75">
      <c r="A21" s="5">
        <v>20</v>
      </c>
      <c r="B21" s="8">
        <v>0</v>
      </c>
      <c r="C21" s="8">
        <v>0</v>
      </c>
      <c r="D21" s="8">
        <v>0</v>
      </c>
      <c r="E21" s="8">
        <v>0</v>
      </c>
      <c r="F21" s="7">
        <f t="shared" si="0"/>
        <v>0</v>
      </c>
      <c r="G21" s="6" t="str">
        <f>IF(ISERROR(RefStr!D45),"-",UPPER(TRIM(RefStr!D45)))</f>
        <v>051206600</v>
      </c>
      <c r="I21" s="9" t="s">
        <v>2674</v>
      </c>
      <c r="J21" s="8">
        <f t="shared" si="1"/>
        <v>0</v>
      </c>
    </row>
    <row r="22" spans="1:10" ht="12.75">
      <c r="A22" s="5">
        <v>21</v>
      </c>
      <c r="B22" s="8">
        <v>0</v>
      </c>
      <c r="C22" s="8">
        <v>0</v>
      </c>
      <c r="D22" s="8">
        <v>0</v>
      </c>
      <c r="E22" s="8">
        <v>0</v>
      </c>
      <c r="F22" s="7">
        <f t="shared" si="0"/>
        <v>0</v>
      </c>
      <c r="G22" s="6" t="str">
        <f>IF(ISERROR(RefStr!D47),"-",UPPER(TRIM(RefStr!D47)))</f>
        <v>051206570</v>
      </c>
      <c r="I22" s="11" t="s">
        <v>2675</v>
      </c>
      <c r="J22" s="8">
        <f t="shared" si="1"/>
        <v>0</v>
      </c>
    </row>
    <row r="23" spans="1:10" ht="12.75">
      <c r="A23" s="5">
        <v>22</v>
      </c>
      <c r="B23" s="8">
        <v>0</v>
      </c>
      <c r="C23" s="8">
        <v>0</v>
      </c>
      <c r="D23" s="8">
        <v>0</v>
      </c>
      <c r="E23" s="8">
        <v>0</v>
      </c>
      <c r="F23" s="7">
        <f t="shared" si="0"/>
        <v>0</v>
      </c>
      <c r="G23" s="6" t="str">
        <f>IF(ISERROR(RefStr!D49),"-",LOWER(TRIM(RefStr!D49)))</f>
        <v>liljana.srdoc@fina.hr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2018</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90884756385</v>
      </c>
      <c r="I38" s="9" t="s">
        <v>1861</v>
      </c>
      <c r="J38" s="8">
        <f t="shared" si="3"/>
        <v>0</v>
      </c>
    </row>
    <row r="39" spans="1:10" ht="12.75">
      <c r="A39" s="5">
        <v>38</v>
      </c>
      <c r="B39" s="8">
        <v>0</v>
      </c>
      <c r="C39" s="8">
        <v>0</v>
      </c>
      <c r="D39" s="8">
        <v>0</v>
      </c>
      <c r="E39" s="8">
        <v>0</v>
      </c>
      <c r="F39" s="7">
        <f t="shared" si="2"/>
        <v>0</v>
      </c>
      <c r="G39" s="6" t="str">
        <f>TEXT(INT(VALUE(RefStr!J9)),"00000")</f>
        <v>274504</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20180101</v>
      </c>
      <c r="I41" s="9" t="s">
        <v>687</v>
      </c>
      <c r="J41" s="8">
        <f t="shared" si="3"/>
        <v>0</v>
      </c>
    </row>
    <row r="42" spans="1:10" ht="12.75">
      <c r="A42" s="5">
        <v>41</v>
      </c>
      <c r="B42" s="8">
        <v>0</v>
      </c>
      <c r="C42" s="8">
        <v>0</v>
      </c>
      <c r="D42" s="8">
        <v>0</v>
      </c>
      <c r="E42" s="8">
        <v>0</v>
      </c>
      <c r="F42" s="7">
        <f t="shared" si="2"/>
        <v>0</v>
      </c>
      <c r="G42" s="6" t="str">
        <f>IF(RefStr!G5&lt;&gt;"",TEXT(RefStr!G5,"YYYYMMDD"),"")</f>
        <v>20181231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15049212.639999997</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HR7924840081106940908</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04218680</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INTERO CENTAR</v>
      </c>
      <c r="I4" s="9" t="s">
        <v>3065</v>
      </c>
      <c r="J4" s="8">
        <f t="shared" si="1"/>
        <v>0</v>
      </c>
    </row>
    <row r="5" spans="1:10" ht="12.75">
      <c r="A5" s="5">
        <f>GPRIZNPF!I22</f>
        <v>4</v>
      </c>
      <c r="B5" s="8">
        <f>GPRIZNPF!J22</f>
        <v>0</v>
      </c>
      <c r="C5" s="8">
        <f>GPRIZNPF!K22</f>
        <v>0</v>
      </c>
      <c r="D5" s="8">
        <v>0</v>
      </c>
      <c r="E5" s="8">
        <v>0</v>
      </c>
      <c r="F5" s="7">
        <f t="shared" si="0"/>
        <v>0</v>
      </c>
      <c r="G5" s="6" t="str">
        <f>TEXT(INT(VALUE(RefStr!C9)),"00000")</f>
        <v>51000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RIJEKA</v>
      </c>
      <c r="I6" s="9" t="s">
        <v>3067</v>
      </c>
      <c r="J6" s="8">
        <f t="shared" si="1"/>
        <v>0</v>
      </c>
    </row>
    <row r="7" spans="1:10" ht="12.75">
      <c r="A7" s="5">
        <f>GPRIZNPF!I24</f>
        <v>6</v>
      </c>
      <c r="B7" s="8">
        <f>GPRIZNPF!J24</f>
        <v>0</v>
      </c>
      <c r="C7" s="8">
        <f>GPRIZNPF!K24</f>
        <v>0</v>
      </c>
      <c r="D7" s="8">
        <v>0</v>
      </c>
      <c r="E7" s="8">
        <v>0</v>
      </c>
      <c r="F7" s="7">
        <f t="shared" si="0"/>
        <v>0</v>
      </c>
      <c r="G7" s="6" t="str">
        <f>IF(ISERROR(RefStr!C11),"-",(TRIM(RefStr!C11)))</f>
        <v>ŽABICA 1</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08</v>
      </c>
      <c r="I9" s="9" t="s">
        <v>3070</v>
      </c>
      <c r="J9" s="8">
        <f t="shared" si="1"/>
        <v>0</v>
      </c>
    </row>
    <row r="10" spans="1:10" ht="12.75">
      <c r="A10" s="5">
        <f>GPRIZNPF!I27</f>
        <v>9</v>
      </c>
      <c r="B10" s="8">
        <f>GPRIZNPF!J27</f>
        <v>0</v>
      </c>
      <c r="C10" s="8">
        <f>GPRIZNPF!K27</f>
        <v>0</v>
      </c>
      <c r="D10" s="8">
        <v>0</v>
      </c>
      <c r="E10" s="8">
        <v>0</v>
      </c>
      <c r="F10" s="7">
        <f t="shared" si="0"/>
        <v>0</v>
      </c>
      <c r="G10" s="6" t="str">
        <f>TEXT(INT(VALUE(RefStr!C17)),"000")</f>
        <v>373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MIHAEL SEČEN</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LILJANA SRDOČ</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051206600</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051206570</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liljana.srdoc@fina.hr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2018</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90884756385</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274504</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20180101</v>
      </c>
      <c r="I41" s="9" t="s">
        <v>687</v>
      </c>
      <c r="J41" s="8">
        <f t="shared" si="1"/>
        <v>0</v>
      </c>
    </row>
    <row r="42" spans="7:9" ht="12.75">
      <c r="G42" s="6" t="str">
        <f>IF(RefStr!G5&lt;&gt;"",TEXT(RefStr!G5,"YYYYMMDD"),"")</f>
        <v>20181231</v>
      </c>
      <c r="I42" s="9" t="s">
        <v>688</v>
      </c>
    </row>
    <row r="43" spans="7:9" ht="12.75">
      <c r="G43" s="234">
        <f>IF(RefStr!N1=707,PraviPod707!G27+PraviPod709!G27+PraviPod710!G27+SUM(PraviPod708!F2:F203),SUM(PraviPod708!G27)+PraviPod709!G27+PraviPod710!G27)</f>
        <v>15049212.639999997</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43101</v>
      </c>
      <c r="F5" s="249" t="s">
        <v>2361</v>
      </c>
      <c r="G5" s="261">
        <v>43465</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3080</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51000</v>
      </c>
      <c r="D9" s="96" t="s">
        <v>2029</v>
      </c>
      <c r="E9" s="346" t="s">
        <v>64</v>
      </c>
      <c r="F9" s="350"/>
      <c r="G9" s="350"/>
      <c r="H9" s="351"/>
      <c r="I9" s="116" t="s">
        <v>791</v>
      </c>
      <c r="J9" s="75">
        <v>274504</v>
      </c>
    </row>
    <row r="10" spans="2:10" ht="4.5" customHeight="1">
      <c r="B10" s="46"/>
      <c r="C10" s="46"/>
      <c r="D10" s="112"/>
      <c r="E10" s="110"/>
      <c r="F10" s="110"/>
      <c r="G10" s="110"/>
      <c r="H10" s="110"/>
      <c r="I10" s="110"/>
      <c r="J10" s="111"/>
    </row>
    <row r="11" spans="2:11" ht="15" customHeight="1">
      <c r="B11" s="96" t="s">
        <v>12</v>
      </c>
      <c r="C11" s="346" t="s">
        <v>3082</v>
      </c>
      <c r="D11" s="347"/>
      <c r="E11" s="347"/>
      <c r="F11" s="347"/>
      <c r="G11" s="347"/>
      <c r="H11" s="349"/>
      <c r="I11" s="117" t="s">
        <v>1530</v>
      </c>
      <c r="J11" s="42" t="s">
        <v>3073</v>
      </c>
      <c r="K11" s="111"/>
    </row>
    <row r="12" spans="2:10" ht="4.5" customHeight="1">
      <c r="B12" s="46"/>
      <c r="C12" s="46"/>
      <c r="D12" s="112"/>
      <c r="E12" s="110"/>
      <c r="F12" s="110"/>
      <c r="G12" s="110"/>
      <c r="H12" s="110"/>
      <c r="I12" s="110"/>
      <c r="J12" s="111"/>
    </row>
    <row r="13" spans="2:10" ht="15" customHeight="1">
      <c r="B13" s="96" t="s">
        <v>2727</v>
      </c>
      <c r="C13" s="368" t="s">
        <v>3074</v>
      </c>
      <c r="D13" s="369"/>
      <c r="E13" s="370"/>
      <c r="G13" s="3"/>
      <c r="H13" s="47"/>
      <c r="I13" s="116" t="s">
        <v>792</v>
      </c>
      <c r="J13" s="74">
        <v>90884756385</v>
      </c>
    </row>
    <row r="14" spans="2:10" ht="4.5" customHeight="1">
      <c r="B14" s="46"/>
      <c r="C14" s="46"/>
      <c r="D14" s="112"/>
      <c r="E14" s="110"/>
      <c r="F14" s="110"/>
      <c r="G14" s="110"/>
      <c r="H14" s="110"/>
      <c r="I14" s="110"/>
      <c r="J14" s="111"/>
    </row>
    <row r="15" spans="2:10" ht="15" customHeight="1">
      <c r="B15" s="117" t="s">
        <v>14</v>
      </c>
      <c r="C15" s="42" t="s">
        <v>2471</v>
      </c>
      <c r="D15" s="357" t="str">
        <f>IF(C15&lt;&gt;"",LOOKUP(C15,T23:T640,U23:U640),"")</f>
        <v>Djelatnosti ostalih članskih organizacija, d. n.</v>
      </c>
      <c r="E15" s="358"/>
      <c r="F15" s="358"/>
      <c r="G15" s="358"/>
      <c r="H15" s="358"/>
      <c r="I15" s="117" t="s">
        <v>2857</v>
      </c>
      <c r="J15" s="282" t="s">
        <v>360</v>
      </c>
    </row>
    <row r="16" spans="4:8" ht="4.5" customHeight="1">
      <c r="D16" s="3"/>
      <c r="E16" s="114"/>
      <c r="F16" s="48"/>
      <c r="G16" s="115"/>
      <c r="H16" s="3"/>
    </row>
    <row r="17" spans="2:10" ht="15" customHeight="1">
      <c r="B17" s="224" t="s">
        <v>2858</v>
      </c>
      <c r="C17" s="76">
        <v>373</v>
      </c>
      <c r="D17" s="357" t="str">
        <f>IF(C17&lt;&gt;"","Grad/općina: "&amp;LOOKUP(C17,M23:M580,N23:N580),"")</f>
        <v>Grad/općina: RIJEKA</v>
      </c>
      <c r="E17" s="358"/>
      <c r="F17" s="358"/>
      <c r="G17" s="358"/>
      <c r="H17" s="358"/>
      <c r="I17" s="116" t="s">
        <v>13</v>
      </c>
      <c r="J17" s="225">
        <f>IF(RefStr!C17&lt;&gt;"",LOOKUP(RefStr!C17,M23:M580,O23:O580),"")</f>
        <v>8</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15049212.639999997</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23569</v>
      </c>
      <c r="J24" s="213">
        <f>BIL!K19</f>
        <v>20210</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23569</v>
      </c>
      <c r="J25" s="216">
        <f>BIL!K164</f>
        <v>20210</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127574</v>
      </c>
      <c r="J27" s="213">
        <f>PRRAS!K19</f>
        <v>126255</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118489</v>
      </c>
      <c r="J28" s="215">
        <f>PRRAS!K167</f>
        <v>129518</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13987</v>
      </c>
      <c r="J29" s="215">
        <f>PRRAS!K173</f>
        <v>10724</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3075</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t="s">
        <v>3081</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3076</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3077</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t="s">
        <v>3078</v>
      </c>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3079</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 activePane="bottomLeft" state="frozen"/>
      <selection pane="topLeft" activeCell="A1" sqref="A1"/>
      <selection pane="bottomLeft" activeCell="K182" sqref="K18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01.01.2018. do 31.12.2018.</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INTERO CENTAR </v>
      </c>
      <c r="E7" s="444"/>
      <c r="F7" s="444"/>
      <c r="G7" s="444"/>
      <c r="H7" s="444"/>
      <c r="I7" s="444"/>
      <c r="J7" s="444"/>
      <c r="K7" s="444"/>
      <c r="L7" s="444"/>
      <c r="P7" s="27" t="s">
        <v>1611</v>
      </c>
    </row>
    <row r="8" spans="2:12" s="118" customFormat="1" ht="18" customHeight="1" thickBot="1">
      <c r="B8" s="416" t="s">
        <v>2026</v>
      </c>
      <c r="C8" s="416"/>
      <c r="D8" s="231">
        <f>IF(RefStr!N4=1,IF(RefStr!C9&lt;&gt;"",RefStr!C9,""),"")</f>
        <v>51000</v>
      </c>
      <c r="E8" s="121"/>
      <c r="F8" s="128" t="s">
        <v>2029</v>
      </c>
      <c r="G8" s="423" t="str">
        <f>IF(RefStr!N4=1,IF(RefStr!E9&lt;&gt;"",RefStr!E9,""),"")</f>
        <v>RIJEKA</v>
      </c>
      <c r="H8" s="424"/>
      <c r="I8" s="424"/>
      <c r="J8" s="424"/>
      <c r="K8" s="424"/>
      <c r="L8" s="424"/>
    </row>
    <row r="9" spans="2:12" s="118" customFormat="1" ht="18" customHeight="1" thickBot="1">
      <c r="B9" s="416" t="s">
        <v>12</v>
      </c>
      <c r="C9" s="416"/>
      <c r="D9" s="423" t="str">
        <f>IF(RefStr!N4=1,IF(RefStr!C11&lt;&gt;"",RefStr!C11,""),"")</f>
        <v>ŽABICA 1</v>
      </c>
      <c r="E9" s="423"/>
      <c r="F9" s="423"/>
      <c r="G9" s="423"/>
      <c r="H9" s="423"/>
      <c r="I9" s="423"/>
      <c r="J9" s="423"/>
      <c r="K9" s="423"/>
      <c r="L9" s="423"/>
    </row>
    <row r="10" spans="2:12" s="118" customFormat="1" ht="18" customHeight="1" thickBot="1">
      <c r="B10" s="416" t="s">
        <v>2727</v>
      </c>
      <c r="C10" s="416" t="s">
        <v>2856</v>
      </c>
      <c r="D10" s="428" t="str">
        <f>IF(RefStr!N4=1,IF(RefStr!C13&lt;&gt;"",RefStr!C13,""),"")</f>
        <v>HR7924840081106940908</v>
      </c>
      <c r="E10" s="429"/>
      <c r="F10" s="429"/>
      <c r="G10" s="122"/>
      <c r="H10" s="122"/>
      <c r="I10" s="136"/>
      <c r="J10" s="128" t="s">
        <v>791</v>
      </c>
      <c r="K10" s="227">
        <f>IF(RefStr!N4=1,IF(RefStr!J9&lt;&gt;"",RefStr!J9,""),"")</f>
        <v>274504</v>
      </c>
      <c r="L10" s="136"/>
    </row>
    <row r="11" spans="2:12" s="118" customFormat="1" ht="18" customHeight="1" thickBot="1">
      <c r="B11" s="396" t="s">
        <v>14</v>
      </c>
      <c r="C11" s="397"/>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04218680</v>
      </c>
      <c r="L11" s="136"/>
    </row>
    <row r="12" spans="2:12" s="118" customFormat="1" ht="18" customHeight="1" thickBot="1">
      <c r="B12" s="416" t="s">
        <v>2858</v>
      </c>
      <c r="C12" s="397"/>
      <c r="D12" s="124">
        <f>IF(RefStr!N4=1,IF(RefStr!C17&lt;&gt;"",RefStr!C17,""),"")</f>
        <v>373</v>
      </c>
      <c r="E12" s="233" t="str">
        <f>IF(RefStr!D17&lt;&gt;"",RefStr!D17,"")</f>
        <v>Grad/općina: RIJEKA</v>
      </c>
      <c r="F12" s="125"/>
      <c r="G12" s="122"/>
      <c r="H12" s="122"/>
      <c r="I12" s="126"/>
      <c r="J12" s="208" t="s">
        <v>792</v>
      </c>
      <c r="K12" s="417">
        <f>IF(RefStr!N4=1,IF(RefStr!J13&lt;&gt;"",RefStr!J13,""),"")</f>
        <v>90884756385</v>
      </c>
      <c r="L12" s="418"/>
    </row>
    <row r="13" spans="2:12" s="118" customFormat="1" ht="18" customHeight="1" thickBot="1">
      <c r="B13" s="136"/>
      <c r="C13" s="127"/>
      <c r="D13" s="262"/>
      <c r="E13" s="263"/>
      <c r="F13" s="263"/>
      <c r="G13" s="263"/>
      <c r="H13" s="263"/>
      <c r="I13" s="396" t="s">
        <v>2857</v>
      </c>
      <c r="J13" s="397"/>
      <c r="K13" s="133" t="str">
        <f>IF(RefStr!N4=1,IF(RefStr!J15&lt;&gt;"",RefStr!J15,""),"")</f>
        <v>2018-12</v>
      </c>
      <c r="L13" s="136"/>
    </row>
    <row r="14" spans="2:12" s="118" customFormat="1" ht="18" customHeight="1" thickBot="1">
      <c r="B14" s="128"/>
      <c r="C14" s="128"/>
      <c r="D14" s="263"/>
      <c r="E14" s="263"/>
      <c r="F14" s="263"/>
      <c r="G14" s="263"/>
      <c r="H14" s="263"/>
      <c r="I14" s="138"/>
      <c r="J14" s="208" t="s">
        <v>13</v>
      </c>
      <c r="K14" s="230">
        <f>IF(RefStr!N4=1,IF(RefStr!J17&lt;&gt;"",RefStr!J17,""),"")</f>
        <v>8</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127574</v>
      </c>
      <c r="K19" s="272">
        <f>K20+K23+K26+K29+K42+K58+K67</f>
        <v>126255</v>
      </c>
      <c r="L19" s="78">
        <f>IF(J19&gt;0,IF(K19/J19&gt;=100,"&gt;&gt;100",K19/J19*100),"-")</f>
        <v>98.96609026917712</v>
      </c>
    </row>
    <row r="20" spans="2:12" ht="12.75">
      <c r="B20" s="284">
        <v>31</v>
      </c>
      <c r="C20" s="389" t="s">
        <v>236</v>
      </c>
      <c r="D20" s="389"/>
      <c r="E20" s="389"/>
      <c r="F20" s="389"/>
      <c r="G20" s="389"/>
      <c r="H20" s="389"/>
      <c r="I20" s="142">
        <v>2</v>
      </c>
      <c r="J20" s="273">
        <f>J21+J22</f>
        <v>7505</v>
      </c>
      <c r="K20" s="273">
        <f>K21+K22</f>
        <v>150</v>
      </c>
      <c r="L20" s="79">
        <f>IF(J20&gt;0,IF(K20/J20&gt;=100,"&gt;&gt;100",K20/J20*100),"-")</f>
        <v>1.9986675549633577</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v>7505</v>
      </c>
      <c r="K22" s="80">
        <v>150</v>
      </c>
      <c r="L22" s="79">
        <f t="shared" si="0"/>
        <v>1.9986675549633577</v>
      </c>
    </row>
    <row r="23" spans="2:12" ht="12.75">
      <c r="B23" s="284">
        <v>32</v>
      </c>
      <c r="C23" s="389" t="s">
        <v>237</v>
      </c>
      <c r="D23" s="389"/>
      <c r="E23" s="389"/>
      <c r="F23" s="389"/>
      <c r="G23" s="389"/>
      <c r="H23" s="389"/>
      <c r="I23" s="142">
        <v>5</v>
      </c>
      <c r="J23" s="273">
        <f>J24+J25</f>
        <v>0</v>
      </c>
      <c r="K23" s="273">
        <f>K24+K25</f>
        <v>0</v>
      </c>
      <c r="L23" s="79" t="str">
        <f t="shared" si="0"/>
        <v>-</v>
      </c>
    </row>
    <row r="24" spans="2:12" ht="12.75">
      <c r="B24" s="284">
        <v>3211</v>
      </c>
      <c r="C24" s="389" t="s">
        <v>2735</v>
      </c>
      <c r="D24" s="389"/>
      <c r="E24" s="389"/>
      <c r="F24" s="389"/>
      <c r="G24" s="389"/>
      <c r="H24" s="389"/>
      <c r="I24" s="142">
        <v>6</v>
      </c>
      <c r="J24" s="80"/>
      <c r="K24" s="80"/>
      <c r="L24" s="79" t="str">
        <f t="shared" si="0"/>
        <v>-</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0</v>
      </c>
      <c r="K26" s="273">
        <f>K27+K28</f>
        <v>0</v>
      </c>
      <c r="L26" s="79" t="str">
        <f t="shared" si="0"/>
        <v>-</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c r="K28" s="80"/>
      <c r="L28" s="79" t="str">
        <f t="shared" si="0"/>
        <v>-</v>
      </c>
    </row>
    <row r="29" spans="2:12" ht="12.75">
      <c r="B29" s="284">
        <v>34</v>
      </c>
      <c r="C29" s="389" t="s">
        <v>239</v>
      </c>
      <c r="D29" s="389"/>
      <c r="E29" s="389"/>
      <c r="F29" s="389"/>
      <c r="G29" s="389"/>
      <c r="H29" s="389"/>
      <c r="I29" s="142">
        <v>11</v>
      </c>
      <c r="J29" s="273">
        <f>J30+J39</f>
        <v>2</v>
      </c>
      <c r="K29" s="273">
        <f>K30+K39</f>
        <v>0</v>
      </c>
      <c r="L29" s="79">
        <f t="shared" si="0"/>
        <v>0</v>
      </c>
    </row>
    <row r="30" spans="2:12" ht="12.75">
      <c r="B30" s="284">
        <v>341</v>
      </c>
      <c r="C30" s="389" t="s">
        <v>240</v>
      </c>
      <c r="D30" s="389"/>
      <c r="E30" s="389"/>
      <c r="F30" s="389"/>
      <c r="G30" s="389"/>
      <c r="H30" s="389"/>
      <c r="I30" s="142">
        <v>12</v>
      </c>
      <c r="J30" s="273">
        <f>SUM(J31:J38)</f>
        <v>2</v>
      </c>
      <c r="K30" s="273">
        <f>SUM(K31:K38)</f>
        <v>0</v>
      </c>
      <c r="L30" s="79">
        <f t="shared" si="0"/>
        <v>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v>2</v>
      </c>
      <c r="K33" s="80"/>
      <c r="L33" s="79">
        <f t="shared" si="0"/>
        <v>0</v>
      </c>
    </row>
    <row r="34" spans="2:12" ht="12.75">
      <c r="B34" s="284">
        <v>3414</v>
      </c>
      <c r="C34" s="389" t="s">
        <v>2725</v>
      </c>
      <c r="D34" s="389"/>
      <c r="E34" s="389"/>
      <c r="F34" s="389"/>
      <c r="G34" s="389"/>
      <c r="H34" s="389"/>
      <c r="I34" s="142">
        <v>16</v>
      </c>
      <c r="J34" s="80"/>
      <c r="K34" s="80"/>
      <c r="L34" s="79" t="str">
        <f t="shared" si="0"/>
        <v>-</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118847</v>
      </c>
      <c r="K42" s="273">
        <f>K43+K48+K51+K54+K55</f>
        <v>126105</v>
      </c>
      <c r="L42" s="79">
        <f t="shared" si="0"/>
        <v>106.10701153584019</v>
      </c>
    </row>
    <row r="43" spans="2:12" ht="12.75" customHeight="1">
      <c r="B43" s="284">
        <v>351</v>
      </c>
      <c r="C43" s="400" t="s">
        <v>2106</v>
      </c>
      <c r="D43" s="400"/>
      <c r="E43" s="400"/>
      <c r="F43" s="400"/>
      <c r="G43" s="400"/>
      <c r="H43" s="400"/>
      <c r="I43" s="142">
        <v>25</v>
      </c>
      <c r="J43" s="273">
        <f>SUM(J44:J47)</f>
        <v>0</v>
      </c>
      <c r="K43" s="273">
        <f>SUM(K44:K47)</f>
        <v>0</v>
      </c>
      <c r="L43" s="79" t="str">
        <f t="shared" si="0"/>
        <v>-</v>
      </c>
    </row>
    <row r="44" spans="2:12" ht="12.75">
      <c r="B44" s="284">
        <v>3511</v>
      </c>
      <c r="C44" s="389" t="s">
        <v>1849</v>
      </c>
      <c r="D44" s="389"/>
      <c r="E44" s="389"/>
      <c r="F44" s="389"/>
      <c r="G44" s="389"/>
      <c r="H44" s="389"/>
      <c r="I44" s="142">
        <v>26</v>
      </c>
      <c r="J44" s="80"/>
      <c r="K44" s="80"/>
      <c r="L44" s="79" t="str">
        <f t="shared" si="0"/>
        <v>-</v>
      </c>
    </row>
    <row r="45" spans="2:12" ht="12.75">
      <c r="B45" s="284">
        <v>3512</v>
      </c>
      <c r="C45" s="389" t="s">
        <v>1850</v>
      </c>
      <c r="D45" s="389"/>
      <c r="E45" s="389"/>
      <c r="F45" s="389"/>
      <c r="G45" s="389"/>
      <c r="H45" s="389"/>
      <c r="I45" s="142">
        <v>27</v>
      </c>
      <c r="J45" s="80"/>
      <c r="K45" s="80"/>
      <c r="L45" s="79" t="str">
        <f t="shared" si="0"/>
        <v>-</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92994</v>
      </c>
      <c r="K48" s="273">
        <f>K49+K50</f>
        <v>88906</v>
      </c>
      <c r="L48" s="79">
        <f t="shared" si="0"/>
        <v>95.60401746349227</v>
      </c>
    </row>
    <row r="49" spans="2:12" ht="12.75">
      <c r="B49" s="284">
        <v>3521</v>
      </c>
      <c r="C49" s="400" t="s">
        <v>665</v>
      </c>
      <c r="D49" s="400"/>
      <c r="E49" s="400"/>
      <c r="F49" s="400"/>
      <c r="G49" s="400"/>
      <c r="H49" s="400"/>
      <c r="I49" s="142">
        <v>31</v>
      </c>
      <c r="J49" s="80">
        <v>92994</v>
      </c>
      <c r="K49" s="80">
        <v>88906</v>
      </c>
      <c r="L49" s="79">
        <f>IF(J49&gt;0,IF(K49/J49&gt;=100,"&gt;&gt;100",K49/J49*100),"-")</f>
        <v>95.60401746349227</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0</v>
      </c>
      <c r="K51" s="273">
        <f>K52+K53</f>
        <v>0</v>
      </c>
      <c r="L51" s="79" t="str">
        <f t="shared" si="0"/>
        <v>-</v>
      </c>
    </row>
    <row r="52" spans="2:12" ht="12.75" customHeight="1">
      <c r="B52" s="284">
        <v>3531</v>
      </c>
      <c r="C52" s="400" t="s">
        <v>2681</v>
      </c>
      <c r="D52" s="400"/>
      <c r="E52" s="400"/>
      <c r="F52" s="400"/>
      <c r="G52" s="400"/>
      <c r="H52" s="400"/>
      <c r="I52" s="142">
        <v>34</v>
      </c>
      <c r="J52" s="80"/>
      <c r="K52" s="80"/>
      <c r="L52" s="79" t="str">
        <f t="shared" si="0"/>
        <v>-</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v>25853</v>
      </c>
      <c r="K54" s="80">
        <v>37199</v>
      </c>
      <c r="L54" s="79">
        <f t="shared" si="0"/>
        <v>143.8865895640738</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1220</v>
      </c>
      <c r="K58" s="273">
        <f>K59+K62+K63</f>
        <v>0</v>
      </c>
      <c r="L58" s="79">
        <f t="shared" si="0"/>
        <v>0</v>
      </c>
    </row>
    <row r="59" spans="2:12" ht="12.75" customHeight="1">
      <c r="B59" s="284">
        <v>361</v>
      </c>
      <c r="C59" s="399" t="s">
        <v>2116</v>
      </c>
      <c r="D59" s="384"/>
      <c r="E59" s="384"/>
      <c r="F59" s="384"/>
      <c r="G59" s="384"/>
      <c r="H59" s="385"/>
      <c r="I59" s="142">
        <v>41</v>
      </c>
      <c r="J59" s="273">
        <f>J60+J61</f>
        <v>0</v>
      </c>
      <c r="K59" s="273">
        <f>K60+K61</f>
        <v>0</v>
      </c>
      <c r="L59" s="79" t="str">
        <f t="shared" si="0"/>
        <v>-</v>
      </c>
    </row>
    <row r="60" spans="2:12" ht="12.75">
      <c r="B60" s="284">
        <v>3611</v>
      </c>
      <c r="C60" s="389" t="s">
        <v>1851</v>
      </c>
      <c r="D60" s="389"/>
      <c r="E60" s="389"/>
      <c r="F60" s="389"/>
      <c r="G60" s="389"/>
      <c r="H60" s="389"/>
      <c r="I60" s="142">
        <v>42</v>
      </c>
      <c r="J60" s="80"/>
      <c r="K60" s="80"/>
      <c r="L60" s="79" t="str">
        <f t="shared" si="0"/>
        <v>-</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v>1220</v>
      </c>
      <c r="K62" s="80"/>
      <c r="L62" s="79">
        <f t="shared" si="0"/>
        <v>0</v>
      </c>
    </row>
    <row r="63" spans="2:12" ht="12.75" customHeight="1">
      <c r="B63" s="284">
        <v>363</v>
      </c>
      <c r="C63" s="399" t="s">
        <v>2117</v>
      </c>
      <c r="D63" s="384"/>
      <c r="E63" s="384"/>
      <c r="F63" s="384"/>
      <c r="G63" s="384"/>
      <c r="H63" s="385"/>
      <c r="I63" s="142">
        <v>45</v>
      </c>
      <c r="J63" s="273">
        <f>SUM(J64:J66)</f>
        <v>0</v>
      </c>
      <c r="K63" s="273">
        <f>SUM(K64:K66)</f>
        <v>0</v>
      </c>
      <c r="L63" s="79" t="str">
        <f t="shared" si="0"/>
        <v>-</v>
      </c>
    </row>
    <row r="64" spans="2:12" ht="12.75">
      <c r="B64" s="284">
        <v>3631</v>
      </c>
      <c r="C64" s="389" t="s">
        <v>1853</v>
      </c>
      <c r="D64" s="389"/>
      <c r="E64" s="389"/>
      <c r="F64" s="389"/>
      <c r="G64" s="389"/>
      <c r="H64" s="389"/>
      <c r="I64" s="142">
        <v>46</v>
      </c>
      <c r="J64" s="80"/>
      <c r="K64" s="80"/>
      <c r="L64" s="79" t="str">
        <f t="shared" si="0"/>
        <v>-</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0</v>
      </c>
      <c r="K67" s="273">
        <f>SUM(K68:K71)</f>
        <v>0</v>
      </c>
      <c r="L67" s="79" t="str">
        <f t="shared" si="0"/>
        <v>-</v>
      </c>
    </row>
    <row r="68" spans="2:12" ht="12.75">
      <c r="B68" s="284">
        <v>3711</v>
      </c>
      <c r="C68" s="389" t="s">
        <v>339</v>
      </c>
      <c r="D68" s="389"/>
      <c r="E68" s="389"/>
      <c r="F68" s="389"/>
      <c r="G68" s="389"/>
      <c r="H68" s="389"/>
      <c r="I68" s="142">
        <v>50</v>
      </c>
      <c r="J68" s="80"/>
      <c r="K68" s="80"/>
      <c r="L68" s="79" t="str">
        <f t="shared" si="0"/>
        <v>-</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118489</v>
      </c>
      <c r="K73" s="272">
        <f>K74+K86+K127+K128+K139+K147+K158</f>
        <v>129518</v>
      </c>
      <c r="L73" s="78">
        <f aca="true" t="shared" si="1" ref="L73:L99">IF(J73&gt;0,IF(K73/J73&gt;=100,"&gt;&gt;100",K73/J73*100),"-")</f>
        <v>109.30803703297352</v>
      </c>
    </row>
    <row r="74" spans="2:12" ht="12.75" customHeight="1">
      <c r="B74" s="141" t="s">
        <v>19</v>
      </c>
      <c r="C74" s="384" t="s">
        <v>2120</v>
      </c>
      <c r="D74" s="384"/>
      <c r="E74" s="384"/>
      <c r="F74" s="384"/>
      <c r="G74" s="384"/>
      <c r="H74" s="385"/>
      <c r="I74" s="142">
        <v>55</v>
      </c>
      <c r="J74" s="273">
        <f>J75+J80+J81</f>
        <v>80629</v>
      </c>
      <c r="K74" s="273">
        <f>K75+K80+K81</f>
        <v>90632</v>
      </c>
      <c r="L74" s="79">
        <f t="shared" si="1"/>
        <v>112.40620620372323</v>
      </c>
    </row>
    <row r="75" spans="2:12" ht="12.75" customHeight="1">
      <c r="B75" s="141">
        <v>411</v>
      </c>
      <c r="C75" s="384" t="s">
        <v>2121</v>
      </c>
      <c r="D75" s="384"/>
      <c r="E75" s="384"/>
      <c r="F75" s="384"/>
      <c r="G75" s="384"/>
      <c r="H75" s="385"/>
      <c r="I75" s="142">
        <v>56</v>
      </c>
      <c r="J75" s="273">
        <f>SUM(J76:J79)</f>
        <v>68796</v>
      </c>
      <c r="K75" s="273">
        <f>SUM(K76:K79)</f>
        <v>72236</v>
      </c>
      <c r="L75" s="79">
        <f t="shared" si="1"/>
        <v>105.00029071457644</v>
      </c>
    </row>
    <row r="76" spans="2:12" ht="12.75">
      <c r="B76" s="141">
        <v>4111</v>
      </c>
      <c r="C76" s="378" t="s">
        <v>1400</v>
      </c>
      <c r="D76" s="378"/>
      <c r="E76" s="378"/>
      <c r="F76" s="378"/>
      <c r="G76" s="378"/>
      <c r="H76" s="378"/>
      <c r="I76" s="142">
        <v>57</v>
      </c>
      <c r="J76" s="80">
        <v>68796</v>
      </c>
      <c r="K76" s="80">
        <v>72236</v>
      </c>
      <c r="L76" s="79">
        <f t="shared" si="1"/>
        <v>105.00029071457644</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c r="K80" s="80">
        <v>11000</v>
      </c>
      <c r="L80" s="79" t="str">
        <f t="shared" si="1"/>
        <v>-</v>
      </c>
    </row>
    <row r="81" spans="2:12" ht="12.75" customHeight="1">
      <c r="B81" s="141">
        <v>413</v>
      </c>
      <c r="C81" s="384" t="s">
        <v>2122</v>
      </c>
      <c r="D81" s="384"/>
      <c r="E81" s="384"/>
      <c r="F81" s="384"/>
      <c r="G81" s="384"/>
      <c r="H81" s="385"/>
      <c r="I81" s="142">
        <v>62</v>
      </c>
      <c r="J81" s="273">
        <f>SUM(J82:J85)</f>
        <v>11833</v>
      </c>
      <c r="K81" s="273">
        <f>SUM(K82:K85)</f>
        <v>7396</v>
      </c>
      <c r="L81" s="79">
        <f t="shared" si="1"/>
        <v>62.50316910335503</v>
      </c>
    </row>
    <row r="82" spans="2:12" ht="12.75">
      <c r="B82" s="141">
        <v>4131</v>
      </c>
      <c r="C82" s="378" t="s">
        <v>1404</v>
      </c>
      <c r="D82" s="378"/>
      <c r="E82" s="378"/>
      <c r="F82" s="378"/>
      <c r="G82" s="378"/>
      <c r="H82" s="378"/>
      <c r="I82" s="142">
        <v>63</v>
      </c>
      <c r="J82" s="80">
        <v>10663</v>
      </c>
      <c r="K82" s="80">
        <v>6665</v>
      </c>
      <c r="L82" s="79">
        <f t="shared" si="1"/>
        <v>62.505861389852754</v>
      </c>
    </row>
    <row r="83" spans="2:12" ht="12.75">
      <c r="B83" s="141">
        <v>4132</v>
      </c>
      <c r="C83" s="378" t="s">
        <v>1405</v>
      </c>
      <c r="D83" s="378"/>
      <c r="E83" s="378"/>
      <c r="F83" s="378"/>
      <c r="G83" s="378"/>
      <c r="H83" s="378"/>
      <c r="I83" s="142">
        <v>64</v>
      </c>
      <c r="J83" s="80">
        <v>1170</v>
      </c>
      <c r="K83" s="80">
        <v>731</v>
      </c>
      <c r="L83" s="79">
        <f t="shared" si="1"/>
        <v>62.47863247863248</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35618</v>
      </c>
      <c r="K86" s="273">
        <f>K87+K91+K96+K101+K106+K116+K121</f>
        <v>35954</v>
      </c>
      <c r="L86" s="79">
        <f t="shared" si="1"/>
        <v>100.94334325341119</v>
      </c>
    </row>
    <row r="87" spans="2:12" ht="12.75" customHeight="1">
      <c r="B87" s="141">
        <v>421</v>
      </c>
      <c r="C87" s="384" t="s">
        <v>2124</v>
      </c>
      <c r="D87" s="384"/>
      <c r="E87" s="384"/>
      <c r="F87" s="384"/>
      <c r="G87" s="384"/>
      <c r="H87" s="385"/>
      <c r="I87" s="142">
        <v>68</v>
      </c>
      <c r="J87" s="273">
        <f>SUM(J88:J90)</f>
        <v>18104</v>
      </c>
      <c r="K87" s="273">
        <f>SUM(K88:K90)</f>
        <v>19443</v>
      </c>
      <c r="L87" s="79">
        <f t="shared" si="1"/>
        <v>107.39615554573574</v>
      </c>
    </row>
    <row r="88" spans="2:12" ht="12.75">
      <c r="B88" s="141">
        <v>4211</v>
      </c>
      <c r="C88" s="378" t="s">
        <v>20</v>
      </c>
      <c r="D88" s="378"/>
      <c r="E88" s="378"/>
      <c r="F88" s="378"/>
      <c r="G88" s="378"/>
      <c r="H88" s="378"/>
      <c r="I88" s="142">
        <v>69</v>
      </c>
      <c r="J88" s="80">
        <v>11192</v>
      </c>
      <c r="K88" s="80">
        <v>9075</v>
      </c>
      <c r="L88" s="79">
        <f t="shared" si="1"/>
        <v>81.08470335954253</v>
      </c>
    </row>
    <row r="89" spans="2:12" ht="12.75">
      <c r="B89" s="141">
        <v>4212</v>
      </c>
      <c r="C89" s="378" t="s">
        <v>3042</v>
      </c>
      <c r="D89" s="378"/>
      <c r="E89" s="378"/>
      <c r="F89" s="378"/>
      <c r="G89" s="378"/>
      <c r="H89" s="378"/>
      <c r="I89" s="142">
        <v>70</v>
      </c>
      <c r="J89" s="80">
        <v>6912</v>
      </c>
      <c r="K89" s="80">
        <v>10368</v>
      </c>
      <c r="L89" s="79">
        <f t="shared" si="1"/>
        <v>150</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0</v>
      </c>
      <c r="K101" s="273">
        <f>SUM(K102:K105)</f>
        <v>0</v>
      </c>
      <c r="L101" s="79" t="str">
        <f t="shared" si="2"/>
        <v>-</v>
      </c>
    </row>
    <row r="102" spans="2:12" ht="12.75">
      <c r="B102" s="141">
        <v>4241</v>
      </c>
      <c r="C102" s="378" t="s">
        <v>2687</v>
      </c>
      <c r="D102" s="378"/>
      <c r="E102" s="378"/>
      <c r="F102" s="378"/>
      <c r="G102" s="378"/>
      <c r="H102" s="378"/>
      <c r="I102" s="142">
        <v>83</v>
      </c>
      <c r="J102" s="80"/>
      <c r="K102" s="80"/>
      <c r="L102" s="79" t="str">
        <f t="shared" si="2"/>
        <v>-</v>
      </c>
    </row>
    <row r="103" spans="2:12" ht="12.75">
      <c r="B103" s="141">
        <v>4242</v>
      </c>
      <c r="C103" s="378" t="s">
        <v>2688</v>
      </c>
      <c r="D103" s="378"/>
      <c r="E103" s="378"/>
      <c r="F103" s="378"/>
      <c r="G103" s="378"/>
      <c r="H103" s="378"/>
      <c r="I103" s="142">
        <v>84</v>
      </c>
      <c r="J103" s="80"/>
      <c r="K103" s="80"/>
      <c r="L103" s="79" t="str">
        <f t="shared" si="2"/>
        <v>-</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11510</v>
      </c>
      <c r="K106" s="273">
        <f>SUM(K107:K115)</f>
        <v>14337</v>
      </c>
      <c r="L106" s="79">
        <f t="shared" si="2"/>
        <v>124.56125108601216</v>
      </c>
    </row>
    <row r="107" spans="2:12" ht="12.75">
      <c r="B107" s="141">
        <v>4251</v>
      </c>
      <c r="C107" s="378" t="s">
        <v>1406</v>
      </c>
      <c r="D107" s="378"/>
      <c r="E107" s="378"/>
      <c r="F107" s="378"/>
      <c r="G107" s="378"/>
      <c r="H107" s="378"/>
      <c r="I107" s="142">
        <v>88</v>
      </c>
      <c r="J107" s="80">
        <v>6</v>
      </c>
      <c r="K107" s="80"/>
      <c r="L107" s="79">
        <f t="shared" si="2"/>
        <v>0</v>
      </c>
    </row>
    <row r="108" spans="2:12" ht="12.75">
      <c r="B108" s="141">
        <v>4252</v>
      </c>
      <c r="C108" s="378" t="s">
        <v>1407</v>
      </c>
      <c r="D108" s="378"/>
      <c r="E108" s="378"/>
      <c r="F108" s="378"/>
      <c r="G108" s="378"/>
      <c r="H108" s="378"/>
      <c r="I108" s="142">
        <v>89</v>
      </c>
      <c r="J108" s="80"/>
      <c r="K108" s="80"/>
      <c r="L108" s="79" t="str">
        <f t="shared" si="2"/>
        <v>-</v>
      </c>
    </row>
    <row r="109" spans="2:12" ht="12.75">
      <c r="B109" s="141">
        <v>4253</v>
      </c>
      <c r="C109" s="378" t="s">
        <v>1408</v>
      </c>
      <c r="D109" s="378"/>
      <c r="E109" s="378"/>
      <c r="F109" s="378"/>
      <c r="G109" s="378"/>
      <c r="H109" s="378"/>
      <c r="I109" s="142">
        <v>90</v>
      </c>
      <c r="J109" s="80">
        <v>115</v>
      </c>
      <c r="K109" s="80"/>
      <c r="L109" s="79">
        <f t="shared" si="2"/>
        <v>0</v>
      </c>
    </row>
    <row r="110" spans="2:12" ht="12.75">
      <c r="B110" s="141">
        <v>4254</v>
      </c>
      <c r="C110" s="378" t="s">
        <v>1409</v>
      </c>
      <c r="D110" s="378"/>
      <c r="E110" s="378"/>
      <c r="F110" s="378"/>
      <c r="G110" s="378"/>
      <c r="H110" s="378"/>
      <c r="I110" s="142">
        <v>91</v>
      </c>
      <c r="J110" s="80"/>
      <c r="K110" s="80">
        <v>935</v>
      </c>
      <c r="L110" s="79" t="str">
        <f t="shared" si="2"/>
        <v>-</v>
      </c>
    </row>
    <row r="111" spans="2:12" ht="12.75">
      <c r="B111" s="141">
        <v>4255</v>
      </c>
      <c r="C111" s="378" t="s">
        <v>1410</v>
      </c>
      <c r="D111" s="378"/>
      <c r="E111" s="378"/>
      <c r="F111" s="378"/>
      <c r="G111" s="378"/>
      <c r="H111" s="378"/>
      <c r="I111" s="142">
        <v>92</v>
      </c>
      <c r="J111" s="80">
        <v>1402</v>
      </c>
      <c r="K111" s="80">
        <v>8277</v>
      </c>
      <c r="L111" s="79">
        <f t="shared" si="2"/>
        <v>590.3708987161198</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9687</v>
      </c>
      <c r="K113" s="80">
        <v>4875</v>
      </c>
      <c r="L113" s="79">
        <f t="shared" si="2"/>
        <v>50.325178073707036</v>
      </c>
    </row>
    <row r="114" spans="2:12" ht="12.75">
      <c r="B114" s="141">
        <v>4258</v>
      </c>
      <c r="C114" s="378" t="s">
        <v>2534</v>
      </c>
      <c r="D114" s="378"/>
      <c r="E114" s="378"/>
      <c r="F114" s="378"/>
      <c r="G114" s="378"/>
      <c r="H114" s="378"/>
      <c r="I114" s="142">
        <v>95</v>
      </c>
      <c r="J114" s="80"/>
      <c r="K114" s="80"/>
      <c r="L114" s="79" t="str">
        <f t="shared" si="2"/>
        <v>-</v>
      </c>
    </row>
    <row r="115" spans="2:12" ht="12.75">
      <c r="B115" s="141">
        <v>4259</v>
      </c>
      <c r="C115" s="378" t="s">
        <v>2535</v>
      </c>
      <c r="D115" s="378"/>
      <c r="E115" s="378"/>
      <c r="F115" s="378"/>
      <c r="G115" s="378"/>
      <c r="H115" s="378"/>
      <c r="I115" s="142">
        <v>96</v>
      </c>
      <c r="J115" s="80">
        <v>300</v>
      </c>
      <c r="K115" s="80">
        <v>250</v>
      </c>
      <c r="L115" s="79">
        <f t="shared" si="2"/>
        <v>83.33333333333334</v>
      </c>
    </row>
    <row r="116" spans="2:12" ht="12.75" customHeight="1">
      <c r="B116" s="141">
        <v>426</v>
      </c>
      <c r="C116" s="378" t="s">
        <v>2129</v>
      </c>
      <c r="D116" s="378"/>
      <c r="E116" s="378"/>
      <c r="F116" s="378"/>
      <c r="G116" s="378"/>
      <c r="H116" s="378"/>
      <c r="I116" s="142">
        <v>97</v>
      </c>
      <c r="J116" s="273">
        <f>SUM(J117:J120)</f>
        <v>2199</v>
      </c>
      <c r="K116" s="273">
        <f>SUM(K117:K120)</f>
        <v>985</v>
      </c>
      <c r="L116" s="79">
        <f t="shared" si="2"/>
        <v>44.793087767166895</v>
      </c>
    </row>
    <row r="117" spans="2:12" ht="12.75">
      <c r="B117" s="141">
        <v>4261</v>
      </c>
      <c r="C117" s="378" t="s">
        <v>3043</v>
      </c>
      <c r="D117" s="378"/>
      <c r="E117" s="378"/>
      <c r="F117" s="378"/>
      <c r="G117" s="378"/>
      <c r="H117" s="378"/>
      <c r="I117" s="142">
        <v>98</v>
      </c>
      <c r="J117" s="80">
        <v>999</v>
      </c>
      <c r="K117" s="80">
        <v>107</v>
      </c>
      <c r="L117" s="79">
        <f t="shared" si="2"/>
        <v>10.71071071071071</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c r="K119" s="80">
        <v>878</v>
      </c>
      <c r="L119" s="79" t="str">
        <f t="shared" si="2"/>
        <v>-</v>
      </c>
    </row>
    <row r="120" spans="2:12" ht="12.75">
      <c r="B120" s="141">
        <v>4264</v>
      </c>
      <c r="C120" s="378" t="s">
        <v>2693</v>
      </c>
      <c r="D120" s="378"/>
      <c r="E120" s="378"/>
      <c r="F120" s="378"/>
      <c r="G120" s="378"/>
      <c r="H120" s="378"/>
      <c r="I120" s="142">
        <v>101</v>
      </c>
      <c r="J120" s="80">
        <v>1200</v>
      </c>
      <c r="K120" s="80"/>
      <c r="L120" s="79">
        <f t="shared" si="2"/>
        <v>0</v>
      </c>
    </row>
    <row r="121" spans="2:12" ht="12.75" customHeight="1">
      <c r="B121" s="141">
        <v>429</v>
      </c>
      <c r="C121" s="378" t="s">
        <v>2130</v>
      </c>
      <c r="D121" s="378"/>
      <c r="E121" s="378"/>
      <c r="F121" s="378"/>
      <c r="G121" s="378"/>
      <c r="H121" s="378"/>
      <c r="I121" s="142">
        <v>102</v>
      </c>
      <c r="J121" s="273">
        <f>SUM(J122:J126)</f>
        <v>3805</v>
      </c>
      <c r="K121" s="273">
        <f>SUM(K122:K126)</f>
        <v>1189</v>
      </c>
      <c r="L121" s="79">
        <f t="shared" si="2"/>
        <v>31.248357424441526</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3750</v>
      </c>
      <c r="K123" s="80">
        <v>817</v>
      </c>
      <c r="L123" s="79">
        <f>IF(J123&gt;0,IF(K123/J123&gt;=100,"&gt;&gt;100",K123/J123*100),"-")</f>
        <v>21.786666666666665</v>
      </c>
    </row>
    <row r="124" spans="2:12" ht="12.75">
      <c r="B124" s="141">
        <v>4293</v>
      </c>
      <c r="C124" s="378" t="s">
        <v>2735</v>
      </c>
      <c r="D124" s="378"/>
      <c r="E124" s="378"/>
      <c r="F124" s="378"/>
      <c r="G124" s="378"/>
      <c r="H124" s="378"/>
      <c r="I124" s="142">
        <v>105</v>
      </c>
      <c r="J124" s="80"/>
      <c r="K124" s="80">
        <v>372</v>
      </c>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55</v>
      </c>
      <c r="K126" s="80"/>
      <c r="L126" s="79">
        <f t="shared" si="2"/>
        <v>0</v>
      </c>
    </row>
    <row r="127" spans="2:12" ht="12.75">
      <c r="B127" s="141">
        <v>43</v>
      </c>
      <c r="C127" s="378" t="s">
        <v>2696</v>
      </c>
      <c r="D127" s="378"/>
      <c r="E127" s="378"/>
      <c r="F127" s="378"/>
      <c r="G127" s="378"/>
      <c r="H127" s="378"/>
      <c r="I127" s="142">
        <v>108</v>
      </c>
      <c r="J127" s="80"/>
      <c r="K127" s="80"/>
      <c r="L127" s="79" t="str">
        <f>IF(J127&gt;0,IF(K127/J127&gt;=100,"&gt;&gt;100",K127/J127*100),"-")</f>
        <v>-</v>
      </c>
    </row>
    <row r="128" spans="2:12" ht="12.75" customHeight="1">
      <c r="B128" s="141">
        <v>44</v>
      </c>
      <c r="C128" s="378" t="s">
        <v>2131</v>
      </c>
      <c r="D128" s="378"/>
      <c r="E128" s="378"/>
      <c r="F128" s="378"/>
      <c r="G128" s="378"/>
      <c r="H128" s="378"/>
      <c r="I128" s="142">
        <v>109</v>
      </c>
      <c r="J128" s="273">
        <f>J129+J130+J134</f>
        <v>2241</v>
      </c>
      <c r="K128" s="273">
        <f>K129+K130+K134</f>
        <v>2932</v>
      </c>
      <c r="L128" s="79">
        <f t="shared" si="2"/>
        <v>130.83444890673806</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2241</v>
      </c>
      <c r="K134" s="273">
        <f>SUM(K135:K138)</f>
        <v>2932</v>
      </c>
      <c r="L134" s="79">
        <f t="shared" si="2"/>
        <v>130.83444890673806</v>
      </c>
    </row>
    <row r="135" spans="2:12" ht="12.75">
      <c r="B135" s="141">
        <v>4431</v>
      </c>
      <c r="C135" s="378" t="s">
        <v>2736</v>
      </c>
      <c r="D135" s="378"/>
      <c r="E135" s="378"/>
      <c r="F135" s="378"/>
      <c r="G135" s="378"/>
      <c r="H135" s="378"/>
      <c r="I135" s="142">
        <v>116</v>
      </c>
      <c r="J135" s="80">
        <v>1899</v>
      </c>
      <c r="K135" s="80">
        <v>1977</v>
      </c>
      <c r="L135" s="79">
        <f t="shared" si="2"/>
        <v>104.10742496050554</v>
      </c>
    </row>
    <row r="136" spans="2:12" ht="12.75">
      <c r="B136" s="141">
        <v>4432</v>
      </c>
      <c r="C136" s="378" t="s">
        <v>2539</v>
      </c>
      <c r="D136" s="378"/>
      <c r="E136" s="378"/>
      <c r="F136" s="378"/>
      <c r="G136" s="378"/>
      <c r="H136" s="378"/>
      <c r="I136" s="142">
        <v>117</v>
      </c>
      <c r="J136" s="80">
        <v>342</v>
      </c>
      <c r="K136" s="80">
        <v>955</v>
      </c>
      <c r="L136" s="79">
        <f t="shared" si="2"/>
        <v>279.2397660818713</v>
      </c>
    </row>
    <row r="137" spans="2:12" ht="12.75">
      <c r="B137" s="141">
        <v>4433</v>
      </c>
      <c r="C137" s="378" t="s">
        <v>1324</v>
      </c>
      <c r="D137" s="378"/>
      <c r="E137" s="378"/>
      <c r="F137" s="378"/>
      <c r="G137" s="378"/>
      <c r="H137" s="378"/>
      <c r="I137" s="142">
        <v>118</v>
      </c>
      <c r="J137" s="80"/>
      <c r="K137" s="80"/>
      <c r="L137" s="79" t="str">
        <f t="shared" si="2"/>
        <v>-</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0</v>
      </c>
      <c r="K139" s="273">
        <f>K140+K144</f>
        <v>0</v>
      </c>
      <c r="L139" s="79" t="str">
        <f t="shared" si="2"/>
        <v>-</v>
      </c>
    </row>
    <row r="140" spans="2:12" ht="12.75" customHeight="1">
      <c r="B140" s="141">
        <v>451</v>
      </c>
      <c r="C140" s="378" t="s">
        <v>2135</v>
      </c>
      <c r="D140" s="378"/>
      <c r="E140" s="378"/>
      <c r="F140" s="378"/>
      <c r="G140" s="378"/>
      <c r="H140" s="378"/>
      <c r="I140" s="142">
        <v>121</v>
      </c>
      <c r="J140" s="273">
        <f>SUM(J141:J143)</f>
        <v>0</v>
      </c>
      <c r="K140" s="273">
        <f>SUM(K141:K143)</f>
        <v>0</v>
      </c>
      <c r="L140" s="79" t="str">
        <f t="shared" si="2"/>
        <v>-</v>
      </c>
    </row>
    <row r="141" spans="2:12" ht="12.75">
      <c r="B141" s="141">
        <v>4511</v>
      </c>
      <c r="C141" s="378" t="s">
        <v>1326</v>
      </c>
      <c r="D141" s="378"/>
      <c r="E141" s="378"/>
      <c r="F141" s="378"/>
      <c r="G141" s="378"/>
      <c r="H141" s="378"/>
      <c r="I141" s="142">
        <v>122</v>
      </c>
      <c r="J141" s="80"/>
      <c r="K141" s="80"/>
      <c r="L141" s="79" t="str">
        <f t="shared" si="2"/>
        <v>-</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1</v>
      </c>
      <c r="K147" s="273">
        <f>K148+K153</f>
        <v>0</v>
      </c>
      <c r="L147" s="79">
        <f t="shared" si="2"/>
        <v>0</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1</v>
      </c>
      <c r="K153" s="273">
        <f>SUM(K154:K157)</f>
        <v>0</v>
      </c>
      <c r="L153" s="79">
        <f t="shared" si="2"/>
        <v>0</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v>1</v>
      </c>
      <c r="K155" s="80"/>
      <c r="L155" s="79">
        <f>IF(J155&gt;0,IF(K155/J155&gt;=100,"&gt;&gt;100",K155/J155*100),"-")</f>
        <v>0</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118489</v>
      </c>
      <c r="K167" s="273">
        <f>K73-K165+K166</f>
        <v>129518</v>
      </c>
      <c r="L167" s="79">
        <f t="shared" si="2"/>
        <v>109.30803703297352</v>
      </c>
    </row>
    <row r="168" spans="2:12" ht="12.75" customHeight="1">
      <c r="B168" s="141"/>
      <c r="C168" s="378" t="s">
        <v>1467</v>
      </c>
      <c r="D168" s="378"/>
      <c r="E168" s="378"/>
      <c r="F168" s="378"/>
      <c r="G168" s="378"/>
      <c r="H168" s="378"/>
      <c r="I168" s="142">
        <v>149</v>
      </c>
      <c r="J168" s="273">
        <f>IF(J19&gt;=J167,J19-J167,0)</f>
        <v>9085</v>
      </c>
      <c r="K168" s="273">
        <f>IF(K19&gt;=K167,K19-K167,0)</f>
        <v>0</v>
      </c>
      <c r="L168" s="79">
        <f t="shared" si="2"/>
        <v>0</v>
      </c>
    </row>
    <row r="169" spans="2:12" ht="12.75" customHeight="1">
      <c r="B169" s="141"/>
      <c r="C169" s="378" t="s">
        <v>1468</v>
      </c>
      <c r="D169" s="378"/>
      <c r="E169" s="378"/>
      <c r="F169" s="378"/>
      <c r="G169" s="378"/>
      <c r="H169" s="378"/>
      <c r="I169" s="142">
        <v>150</v>
      </c>
      <c r="J169" s="273">
        <f>IF(J167&gt;=J19,J167-J19,0)</f>
        <v>0</v>
      </c>
      <c r="K169" s="273">
        <f>IF(K167&gt;=K19,K167-K19,0)</f>
        <v>3263</v>
      </c>
      <c r="L169" s="79" t="str">
        <f t="shared" si="2"/>
        <v>-</v>
      </c>
    </row>
    <row r="170" spans="2:12" ht="12.75">
      <c r="B170" s="141">
        <v>5221</v>
      </c>
      <c r="C170" s="378" t="s">
        <v>1333</v>
      </c>
      <c r="D170" s="378"/>
      <c r="E170" s="378"/>
      <c r="F170" s="378"/>
      <c r="G170" s="378"/>
      <c r="H170" s="378"/>
      <c r="I170" s="142">
        <v>151</v>
      </c>
      <c r="J170" s="80">
        <v>4902</v>
      </c>
      <c r="K170" s="80">
        <v>13987</v>
      </c>
      <c r="L170" s="79">
        <f t="shared" si="2"/>
        <v>285.3325173398613</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13987</v>
      </c>
      <c r="K173" s="273">
        <f>IF(K168+K170-K169-K171-K172&gt;=0,K168+K170-K169-K171-K172,0)</f>
        <v>10724</v>
      </c>
      <c r="L173" s="79">
        <f t="shared" si="2"/>
        <v>76.671194680775</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8934</v>
      </c>
      <c r="K176" s="83">
        <v>22988</v>
      </c>
      <c r="L176" s="78">
        <f aca="true" t="shared" si="3" ref="L176:L181">IF(J176&gt;0,IF(K176/J176&gt;=100,"&gt;&gt;100",K176/J176*100),"-")</f>
        <v>257.30915603313184</v>
      </c>
    </row>
    <row r="177" spans="2:12" ht="12.75">
      <c r="B177" s="145" t="s">
        <v>1335</v>
      </c>
      <c r="C177" s="378" t="s">
        <v>1004</v>
      </c>
      <c r="D177" s="378"/>
      <c r="E177" s="378"/>
      <c r="F177" s="378"/>
      <c r="G177" s="378"/>
      <c r="H177" s="378"/>
      <c r="I177" s="142">
        <v>157</v>
      </c>
      <c r="J177" s="80">
        <v>229760</v>
      </c>
      <c r="K177" s="80">
        <v>258609</v>
      </c>
      <c r="L177" s="79">
        <f t="shared" si="3"/>
        <v>112.55614554317548</v>
      </c>
    </row>
    <row r="178" spans="2:12" ht="12.75">
      <c r="B178" s="145" t="s">
        <v>3054</v>
      </c>
      <c r="C178" s="378" t="s">
        <v>3055</v>
      </c>
      <c r="D178" s="378"/>
      <c r="E178" s="378"/>
      <c r="F178" s="378"/>
      <c r="G178" s="378"/>
      <c r="H178" s="378"/>
      <c r="I178" s="142">
        <v>158</v>
      </c>
      <c r="J178" s="80">
        <v>215706</v>
      </c>
      <c r="K178" s="80">
        <v>263120</v>
      </c>
      <c r="L178" s="79">
        <f t="shared" si="3"/>
        <v>121.98084429733062</v>
      </c>
    </row>
    <row r="179" spans="2:12" ht="12.75" customHeight="1">
      <c r="B179" s="141">
        <v>11</v>
      </c>
      <c r="C179" s="384" t="s">
        <v>1471</v>
      </c>
      <c r="D179" s="384"/>
      <c r="E179" s="384"/>
      <c r="F179" s="384"/>
      <c r="G179" s="384"/>
      <c r="H179" s="385"/>
      <c r="I179" s="142">
        <v>159</v>
      </c>
      <c r="J179" s="273">
        <f>J176+J177-J178</f>
        <v>22988</v>
      </c>
      <c r="K179" s="273">
        <f>K176+K177-K178</f>
        <v>18477</v>
      </c>
      <c r="L179" s="79">
        <f t="shared" si="3"/>
        <v>80.37671828780233</v>
      </c>
    </row>
    <row r="180" spans="2:12" ht="12.75">
      <c r="B180" s="141"/>
      <c r="C180" s="378" t="s">
        <v>203</v>
      </c>
      <c r="D180" s="378"/>
      <c r="E180" s="378"/>
      <c r="F180" s="378"/>
      <c r="G180" s="378"/>
      <c r="H180" s="378"/>
      <c r="I180" s="142">
        <v>160</v>
      </c>
      <c r="J180" s="80">
        <v>2</v>
      </c>
      <c r="K180" s="80">
        <v>2</v>
      </c>
      <c r="L180" s="79">
        <f t="shared" si="3"/>
        <v>100</v>
      </c>
    </row>
    <row r="181" spans="2:12" ht="12.75">
      <c r="B181" s="141"/>
      <c r="C181" s="378" t="s">
        <v>204</v>
      </c>
      <c r="D181" s="378"/>
      <c r="E181" s="378"/>
      <c r="F181" s="378"/>
      <c r="G181" s="378"/>
      <c r="H181" s="378"/>
      <c r="I181" s="142">
        <v>161</v>
      </c>
      <c r="J181" s="80">
        <v>2</v>
      </c>
      <c r="K181" s="80">
        <v>2</v>
      </c>
      <c r="L181" s="79">
        <f t="shared" si="3"/>
        <v>100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4</v>
      </c>
      <c r="K194" s="274">
        <f>SUM(K180:K183,K186:K191,K193)</f>
        <v>4</v>
      </c>
      <c r="L194" s="82">
        <f t="shared" si="4"/>
        <v>100</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MIHAEL SEČEN</v>
      </c>
      <c r="E198" s="447"/>
      <c r="F198" s="447"/>
      <c r="G198" s="447"/>
      <c r="H198" s="447"/>
      <c r="I198" s="173"/>
      <c r="J198" s="415"/>
      <c r="K198" s="415"/>
      <c r="L198" s="415"/>
    </row>
    <row r="199" spans="2:12" s="118" customFormat="1" ht="15" thickBot="1">
      <c r="B199" s="386" t="s">
        <v>2870</v>
      </c>
      <c r="C199" s="386"/>
      <c r="D199" s="223" t="str">
        <f>IF(RefStr!N4=1,IF(RefStr!D41&lt;&gt;"",RefStr!D41,""),"")</f>
        <v>26.02.2019.</v>
      </c>
      <c r="E199" s="176"/>
      <c r="F199" s="176"/>
      <c r="G199" s="176"/>
      <c r="H199" s="177"/>
      <c r="I199" s="178"/>
      <c r="J199" s="178"/>
      <c r="K199" s="179"/>
      <c r="L199" s="178"/>
    </row>
    <row r="200" spans="2:12" s="118" customFormat="1" ht="15" thickBot="1">
      <c r="B200" s="398" t="s">
        <v>1649</v>
      </c>
      <c r="C200" s="398"/>
      <c r="D200" s="172" t="str">
        <f>IF(RefStr!N4=1,IF(RefStr!D43&lt;&gt;"",RefStr!D43,""),"")</f>
        <v>LILJANA SRDOČ</v>
      </c>
      <c r="E200" s="172"/>
      <c r="F200" s="172"/>
      <c r="G200" s="172"/>
      <c r="H200" s="171"/>
      <c r="I200" s="171"/>
      <c r="J200" s="171"/>
      <c r="K200" s="171"/>
      <c r="L200" s="171"/>
    </row>
    <row r="201" spans="2:12" s="118" customFormat="1" ht="15" thickBot="1">
      <c r="B201" s="386" t="s">
        <v>1650</v>
      </c>
      <c r="C201" s="386"/>
      <c r="D201" s="445" t="str">
        <f>IF(RefStr!N4=1,IF(RefStr!D45&lt;&gt;"",RefStr!D45,""),"")</f>
        <v>051206600</v>
      </c>
      <c r="E201" s="445"/>
      <c r="F201" s="171"/>
      <c r="G201" s="180"/>
      <c r="H201" s="180"/>
      <c r="I201" s="180"/>
      <c r="J201" s="180"/>
      <c r="K201" s="180"/>
      <c r="L201" s="180"/>
    </row>
    <row r="202" spans="2:12" s="118" customFormat="1" ht="15" thickBot="1">
      <c r="B202" s="386" t="s">
        <v>41</v>
      </c>
      <c r="C202" s="386"/>
      <c r="D202" s="446" t="str">
        <f>IF(RefStr!N4=1,IF(RefStr!D47&lt;&gt;"",RefStr!D47,""),"")</f>
        <v>051206570</v>
      </c>
      <c r="E202" s="446"/>
      <c r="F202" s="181"/>
      <c r="G202" s="181"/>
      <c r="H202" s="181"/>
      <c r="I202" s="181"/>
      <c r="J202" s="181"/>
      <c r="K202" s="180"/>
      <c r="L202" s="180"/>
    </row>
    <row r="203" spans="2:12" s="118" customFormat="1" ht="15" thickBot="1">
      <c r="B203" s="386" t="s">
        <v>1651</v>
      </c>
      <c r="C203" s="386"/>
      <c r="D203" s="431" t="str">
        <f>IF(RefStr!N4=1,IF(RefStr!D49&lt;&gt;"",RefStr!D49,""),"")</f>
        <v>liljana.srdoc@fina.hr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58:H58"/>
    <mergeCell ref="C111:H111"/>
    <mergeCell ref="C83:H83"/>
    <mergeCell ref="B72:L72"/>
    <mergeCell ref="C94:H94"/>
    <mergeCell ref="C91:H91"/>
    <mergeCell ref="C89:H89"/>
    <mergeCell ref="C79:H79"/>
    <mergeCell ref="C90:H90"/>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B202:C20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87:H87"/>
    <mergeCell ref="C88:H88"/>
    <mergeCell ref="B18:L18"/>
    <mergeCell ref="C65:H65"/>
    <mergeCell ref="C66:H66"/>
    <mergeCell ref="C86:H86"/>
    <mergeCell ref="C84:H84"/>
    <mergeCell ref="C54:H54"/>
    <mergeCell ref="C85:H85"/>
    <mergeCell ref="C74:H74"/>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43:H143"/>
    <mergeCell ref="C145:H145"/>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K219" sqref="K219"/>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31.12.2018.</v>
      </c>
      <c r="C6" s="436"/>
      <c r="D6" s="436"/>
      <c r="E6" s="436"/>
      <c r="F6" s="436"/>
      <c r="G6" s="436"/>
      <c r="H6" s="436"/>
      <c r="I6" s="436"/>
      <c r="J6" s="436"/>
      <c r="K6" s="436"/>
      <c r="L6" s="436"/>
      <c r="P6" s="264" t="s">
        <v>769</v>
      </c>
    </row>
    <row r="7" spans="2:16" ht="18" customHeight="1" thickBot="1">
      <c r="B7" s="416" t="s">
        <v>11</v>
      </c>
      <c r="C7" s="442"/>
      <c r="D7" s="443" t="str">
        <f>IF(RefStr!O4=1,IF(RefStr!C7&lt;&gt;"",RefStr!C7,""),"")</f>
        <v>INTERO CENTAR </v>
      </c>
      <c r="E7" s="444"/>
      <c r="F7" s="444"/>
      <c r="G7" s="444"/>
      <c r="H7" s="444"/>
      <c r="I7" s="444"/>
      <c r="J7" s="444"/>
      <c r="K7" s="444"/>
      <c r="L7" s="444"/>
      <c r="P7" s="27" t="s">
        <v>1611</v>
      </c>
    </row>
    <row r="8" spans="2:12" ht="18" customHeight="1" thickBot="1">
      <c r="B8" s="416" t="s">
        <v>2026</v>
      </c>
      <c r="C8" s="416"/>
      <c r="D8" s="231">
        <f>IF(RefStr!O4=1,IF(RefStr!C9&lt;&gt;"",RefStr!C9,""),"")</f>
        <v>51000</v>
      </c>
      <c r="E8" s="121"/>
      <c r="F8" s="128" t="s">
        <v>2029</v>
      </c>
      <c r="G8" s="423" t="str">
        <f>IF(RefStr!O4=1,IF(RefStr!E9&lt;&gt;"",RefStr!E9,""),"")</f>
        <v>RIJEKA</v>
      </c>
      <c r="H8" s="424"/>
      <c r="I8" s="424"/>
      <c r="J8" s="424"/>
      <c r="K8" s="424"/>
      <c r="L8" s="424"/>
    </row>
    <row r="9" spans="2:12" ht="18" customHeight="1" thickBot="1">
      <c r="B9" s="416" t="s">
        <v>12</v>
      </c>
      <c r="C9" s="416"/>
      <c r="D9" s="423" t="str">
        <f>IF(RefStr!O4=1,IF(RefStr!C11&lt;&gt;"",RefStr!C11,""),"")</f>
        <v>ŽABICA 1</v>
      </c>
      <c r="E9" s="423"/>
      <c r="F9" s="423"/>
      <c r="G9" s="423"/>
      <c r="H9" s="423"/>
      <c r="I9" s="423"/>
      <c r="J9" s="423"/>
      <c r="K9" s="423"/>
      <c r="L9" s="423"/>
    </row>
    <row r="10" spans="2:12" ht="18" customHeight="1" thickBot="1">
      <c r="B10" s="416" t="s">
        <v>2727</v>
      </c>
      <c r="C10" s="416" t="s">
        <v>2856</v>
      </c>
      <c r="D10" s="428" t="str">
        <f>IF(RefStr!O4=1,IF(RefStr!C13&lt;&gt;"",RefStr!C13,""),"")</f>
        <v>HR7924840081106940908</v>
      </c>
      <c r="E10" s="429"/>
      <c r="F10" s="429"/>
      <c r="G10" s="122"/>
      <c r="H10" s="122"/>
      <c r="I10" s="136"/>
      <c r="J10" s="128" t="s">
        <v>791</v>
      </c>
      <c r="K10" s="227">
        <f>IF(RefStr!O4=1,IF(RefStr!J9&lt;&gt;"",RefStr!J9,""),"")</f>
        <v>274504</v>
      </c>
      <c r="L10" s="136"/>
    </row>
    <row r="11" spans="2:12" ht="18" customHeight="1" thickBot="1">
      <c r="B11" s="396" t="s">
        <v>14</v>
      </c>
      <c r="C11" s="397"/>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04218680</v>
      </c>
      <c r="L11" s="136"/>
    </row>
    <row r="12" spans="2:12" ht="18" customHeight="1" thickBot="1">
      <c r="B12" s="416" t="s">
        <v>2858</v>
      </c>
      <c r="C12" s="397"/>
      <c r="D12" s="124">
        <f>IF(RefStr!O4=1,IF(RefStr!C17&lt;&gt;"",RefStr!C17,""),"")</f>
        <v>373</v>
      </c>
      <c r="E12" s="233" t="str">
        <f>IF(RefStr!D17&lt;&gt;"",RefStr!D17,"")</f>
        <v>Grad/općina: RIJEKA</v>
      </c>
      <c r="F12" s="125"/>
      <c r="G12" s="122"/>
      <c r="H12" s="122"/>
      <c r="I12" s="126"/>
      <c r="J12" s="208" t="s">
        <v>792</v>
      </c>
      <c r="K12" s="417">
        <f>IF(RefStr!O4=1,IF(RefStr!J13&lt;&gt;"",RefStr!J13,""),"")</f>
        <v>90884756385</v>
      </c>
      <c r="L12" s="418"/>
    </row>
    <row r="13" spans="2:12" ht="18" customHeight="1" thickBot="1">
      <c r="B13" s="136"/>
      <c r="C13" s="127"/>
      <c r="D13" s="262"/>
      <c r="E13" s="263"/>
      <c r="F13" s="263"/>
      <c r="G13" s="263"/>
      <c r="H13" s="263"/>
      <c r="I13" s="396" t="s">
        <v>2857</v>
      </c>
      <c r="J13" s="397"/>
      <c r="K13" s="133" t="str">
        <f>IF(RefStr!O4=1,IF(RefStr!J15&lt;&gt;"",RefStr!J15,""),"")</f>
        <v>2018-12</v>
      </c>
      <c r="L13" s="136"/>
    </row>
    <row r="14" spans="2:12" ht="18" customHeight="1" thickBot="1">
      <c r="B14" s="128"/>
      <c r="C14" s="128"/>
      <c r="D14" s="263"/>
      <c r="E14" s="263"/>
      <c r="F14" s="263"/>
      <c r="G14" s="263"/>
      <c r="H14" s="263"/>
      <c r="I14" s="138"/>
      <c r="J14" s="208" t="s">
        <v>13</v>
      </c>
      <c r="K14" s="230">
        <f>IF(RefStr!O4=1,IF(RefStr!J17&lt;&gt;"",RefStr!J17,""),"")</f>
        <v>8</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4.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23569</v>
      </c>
      <c r="K19" s="148">
        <f>K20+K92</f>
        <v>20210</v>
      </c>
      <c r="L19" s="134">
        <f aca="true" t="shared" si="0" ref="L19:L50">IF(J19&gt;0,IF(K19/J19&gt;=100,"&gt;&gt;100",K19/J19*100),"-")</f>
        <v>85.74822860537145</v>
      </c>
    </row>
    <row r="20" spans="2:12" ht="14.25">
      <c r="B20" s="149">
        <v>0</v>
      </c>
      <c r="C20" s="459" t="s">
        <v>1951</v>
      </c>
      <c r="D20" s="460"/>
      <c r="E20" s="460"/>
      <c r="F20" s="460"/>
      <c r="G20" s="460"/>
      <c r="H20" s="460"/>
      <c r="I20" s="150">
        <v>2</v>
      </c>
      <c r="J20" s="151">
        <f>J21+J36+J65+J69+J73+J82</f>
        <v>0</v>
      </c>
      <c r="K20" s="151">
        <f>K21+K36+K65+K69+K73+K82</f>
        <v>0</v>
      </c>
      <c r="L20" s="152" t="str">
        <f t="shared" si="0"/>
        <v>-</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0</v>
      </c>
      <c r="K36" s="151">
        <f>K37+K41+K49+K52+K57+K60-K64</f>
        <v>0</v>
      </c>
      <c r="L36" s="152" t="str">
        <f t="shared" si="0"/>
        <v>-</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0</v>
      </c>
      <c r="K41" s="151">
        <f>SUM(K42:K48)</f>
        <v>0</v>
      </c>
      <c r="L41" s="152" t="str">
        <f t="shared" si="0"/>
        <v>-</v>
      </c>
    </row>
    <row r="42" spans="2:12" ht="14.25">
      <c r="B42" s="153" t="s">
        <v>2912</v>
      </c>
      <c r="C42" s="457" t="s">
        <v>2913</v>
      </c>
      <c r="D42" s="458"/>
      <c r="E42" s="458"/>
      <c r="F42" s="458"/>
      <c r="G42" s="458"/>
      <c r="H42" s="458"/>
      <c r="I42" s="150">
        <v>24</v>
      </c>
      <c r="J42" s="154"/>
      <c r="K42" s="155"/>
      <c r="L42" s="152" t="str">
        <f t="shared" si="0"/>
        <v>-</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c r="K64" s="155"/>
      <c r="L64" s="152" t="str">
        <f t="shared" si="1"/>
        <v>-</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3230</v>
      </c>
      <c r="K71" s="155">
        <v>3230</v>
      </c>
      <c r="L71" s="152">
        <f t="shared" si="1"/>
        <v>100</v>
      </c>
    </row>
    <row r="72" spans="2:12" ht="14.25">
      <c r="B72" s="153" t="s">
        <v>92</v>
      </c>
      <c r="C72" s="457" t="s">
        <v>93</v>
      </c>
      <c r="D72" s="458"/>
      <c r="E72" s="458"/>
      <c r="F72" s="458"/>
      <c r="G72" s="458"/>
      <c r="H72" s="458"/>
      <c r="I72" s="150">
        <v>54</v>
      </c>
      <c r="J72" s="154">
        <v>3230</v>
      </c>
      <c r="K72" s="155">
        <v>3230</v>
      </c>
      <c r="L72" s="152">
        <f t="shared" si="1"/>
        <v>100</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23569</v>
      </c>
      <c r="K92" s="151">
        <f>K93+K101+K118+K123+K143+K151+K160</f>
        <v>20210</v>
      </c>
      <c r="L92" s="152">
        <f t="shared" si="2"/>
        <v>85.74822860537145</v>
      </c>
    </row>
    <row r="93" spans="2:12" ht="14.25">
      <c r="B93" s="153">
        <v>11</v>
      </c>
      <c r="C93" s="457" t="s">
        <v>1370</v>
      </c>
      <c r="D93" s="458"/>
      <c r="E93" s="458"/>
      <c r="F93" s="458"/>
      <c r="G93" s="458"/>
      <c r="H93" s="458"/>
      <c r="I93" s="150">
        <v>75</v>
      </c>
      <c r="J93" s="151">
        <f>J94+J98+J99+J100</f>
        <v>22988</v>
      </c>
      <c r="K93" s="151">
        <f>K94+K98+K99+K100</f>
        <v>18477</v>
      </c>
      <c r="L93" s="152">
        <f t="shared" si="2"/>
        <v>80.37671828780233</v>
      </c>
    </row>
    <row r="94" spans="2:12" ht="14.25">
      <c r="B94" s="153">
        <v>111</v>
      </c>
      <c r="C94" s="457" t="s">
        <v>1371</v>
      </c>
      <c r="D94" s="458"/>
      <c r="E94" s="458"/>
      <c r="F94" s="458"/>
      <c r="G94" s="458"/>
      <c r="H94" s="458"/>
      <c r="I94" s="150">
        <v>76</v>
      </c>
      <c r="J94" s="151">
        <f>SUM(J95:J97)</f>
        <v>22962</v>
      </c>
      <c r="K94" s="151">
        <f>SUM(K95:K97)</f>
        <v>18451</v>
      </c>
      <c r="L94" s="152">
        <f t="shared" si="2"/>
        <v>80.35449873704381</v>
      </c>
    </row>
    <row r="95" spans="2:12" ht="14.25">
      <c r="B95" s="153">
        <v>1111</v>
      </c>
      <c r="C95" s="457" t="s">
        <v>1372</v>
      </c>
      <c r="D95" s="458"/>
      <c r="E95" s="458"/>
      <c r="F95" s="458"/>
      <c r="G95" s="458"/>
      <c r="H95" s="458"/>
      <c r="I95" s="150">
        <v>77</v>
      </c>
      <c r="J95" s="154">
        <v>22962</v>
      </c>
      <c r="K95" s="155">
        <v>18451</v>
      </c>
      <c r="L95" s="152">
        <f t="shared" si="2"/>
        <v>80.35449873704381</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v>26</v>
      </c>
      <c r="K99" s="155">
        <v>26</v>
      </c>
      <c r="L99" s="152">
        <f t="shared" si="2"/>
        <v>100</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5"/>
      <c r="E101" s="465"/>
      <c r="F101" s="465"/>
      <c r="G101" s="465"/>
      <c r="H101" s="465"/>
      <c r="I101" s="150">
        <v>83</v>
      </c>
      <c r="J101" s="151">
        <f>J102+J105+J106+J107+J113</f>
        <v>581</v>
      </c>
      <c r="K101" s="151">
        <f>K102+K105+K106+K107+K113</f>
        <v>581</v>
      </c>
      <c r="L101" s="152">
        <f t="shared" si="2"/>
        <v>100</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v>581</v>
      </c>
      <c r="K105" s="155">
        <v>581</v>
      </c>
      <c r="L105" s="152">
        <f t="shared" si="2"/>
        <v>100</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1152</v>
      </c>
      <c r="L160" s="152" t="str">
        <f t="shared" si="4"/>
        <v>-</v>
      </c>
    </row>
    <row r="161" spans="2:12" ht="14.25">
      <c r="B161" s="153">
        <v>191</v>
      </c>
      <c r="C161" s="457" t="s">
        <v>2480</v>
      </c>
      <c r="D161" s="458"/>
      <c r="E161" s="458"/>
      <c r="F161" s="458"/>
      <c r="G161" s="458"/>
      <c r="H161" s="458"/>
      <c r="I161" s="150">
        <v>143</v>
      </c>
      <c r="J161" s="154"/>
      <c r="K161" s="155">
        <v>1152</v>
      </c>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6" t="s">
        <v>2482</v>
      </c>
      <c r="C163" s="467"/>
      <c r="D163" s="467"/>
      <c r="E163" s="467"/>
      <c r="F163" s="467"/>
      <c r="G163" s="467"/>
      <c r="H163" s="467"/>
      <c r="I163" s="467"/>
      <c r="J163" s="467"/>
      <c r="K163" s="467"/>
      <c r="L163" s="468"/>
    </row>
    <row r="164" spans="2:12" ht="14.25">
      <c r="B164" s="146"/>
      <c r="C164" s="461" t="s">
        <v>2862</v>
      </c>
      <c r="D164" s="462"/>
      <c r="E164" s="462"/>
      <c r="F164" s="462"/>
      <c r="G164" s="462"/>
      <c r="H164" s="462"/>
      <c r="I164" s="147">
        <v>145</v>
      </c>
      <c r="J164" s="148">
        <f>J165+J214</f>
        <v>23569</v>
      </c>
      <c r="K164" s="148">
        <f>K165+K214</f>
        <v>20210</v>
      </c>
      <c r="L164" s="160">
        <f aca="true" t="shared" si="5" ref="L164:L195">IF(J164&gt;0,IF(K164/J164&gt;=100,"&gt;&gt;100",K164/J164*100),"-")</f>
        <v>85.74822860537145</v>
      </c>
    </row>
    <row r="165" spans="2:12" ht="14.25">
      <c r="B165" s="149">
        <v>2</v>
      </c>
      <c r="C165" s="459" t="s">
        <v>2483</v>
      </c>
      <c r="D165" s="460"/>
      <c r="E165" s="460"/>
      <c r="F165" s="460"/>
      <c r="G165" s="460"/>
      <c r="H165" s="460"/>
      <c r="I165" s="150">
        <v>146</v>
      </c>
      <c r="J165" s="151">
        <f>J166+J193+J201+J209</f>
        <v>9582</v>
      </c>
      <c r="K165" s="151">
        <f>K166+K193+K201+K209</f>
        <v>9486</v>
      </c>
      <c r="L165" s="161">
        <f t="shared" si="5"/>
        <v>98.99812147777082</v>
      </c>
    </row>
    <row r="166" spans="2:12" ht="14.25">
      <c r="B166" s="153">
        <v>24</v>
      </c>
      <c r="C166" s="457" t="s">
        <v>2484</v>
      </c>
      <c r="D166" s="458"/>
      <c r="E166" s="458"/>
      <c r="F166" s="458"/>
      <c r="G166" s="458"/>
      <c r="H166" s="458"/>
      <c r="I166" s="150">
        <v>147</v>
      </c>
      <c r="J166" s="151">
        <f>J167+J175+J183+J187+J188+J189</f>
        <v>9582</v>
      </c>
      <c r="K166" s="151">
        <f>K167+K175+K183+K187+K188+K189</f>
        <v>9295</v>
      </c>
      <c r="L166" s="161">
        <f t="shared" si="5"/>
        <v>97.00480066791901</v>
      </c>
    </row>
    <row r="167" spans="2:12" ht="14.25">
      <c r="B167" s="153">
        <v>241</v>
      </c>
      <c r="C167" s="457" t="s">
        <v>1702</v>
      </c>
      <c r="D167" s="458"/>
      <c r="E167" s="458"/>
      <c r="F167" s="458"/>
      <c r="G167" s="458"/>
      <c r="H167" s="458"/>
      <c r="I167" s="150">
        <v>148</v>
      </c>
      <c r="J167" s="151">
        <f>SUM(J168:J174)</f>
        <v>7679</v>
      </c>
      <c r="K167" s="151">
        <f>SUM(K168:K174)</f>
        <v>7767</v>
      </c>
      <c r="L167" s="161">
        <f t="shared" si="5"/>
        <v>101.14598254981118</v>
      </c>
    </row>
    <row r="168" spans="2:12" ht="14.25">
      <c r="B168" s="153">
        <v>2411</v>
      </c>
      <c r="C168" s="457" t="s">
        <v>1703</v>
      </c>
      <c r="D168" s="458"/>
      <c r="E168" s="458"/>
      <c r="F168" s="458"/>
      <c r="G168" s="458"/>
      <c r="H168" s="458"/>
      <c r="I168" s="150">
        <v>149</v>
      </c>
      <c r="J168" s="162">
        <v>5242</v>
      </c>
      <c r="K168" s="163">
        <v>5504</v>
      </c>
      <c r="L168" s="161">
        <f t="shared" si="5"/>
        <v>104.9980923311713</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c r="K171" s="163"/>
      <c r="L171" s="161" t="str">
        <f t="shared" si="5"/>
        <v>-</v>
      </c>
    </row>
    <row r="172" spans="2:12" ht="14.25">
      <c r="B172" s="153">
        <v>2415</v>
      </c>
      <c r="C172" s="457" t="s">
        <v>1707</v>
      </c>
      <c r="D172" s="458"/>
      <c r="E172" s="458"/>
      <c r="F172" s="458"/>
      <c r="G172" s="458"/>
      <c r="H172" s="458"/>
      <c r="I172" s="150">
        <v>153</v>
      </c>
      <c r="J172" s="162">
        <v>1310</v>
      </c>
      <c r="K172" s="163">
        <v>1376</v>
      </c>
      <c r="L172" s="161">
        <f t="shared" si="5"/>
        <v>105.03816793893131</v>
      </c>
    </row>
    <row r="173" spans="2:12" ht="14.25">
      <c r="B173" s="153">
        <v>2416</v>
      </c>
      <c r="C173" s="457" t="s">
        <v>1708</v>
      </c>
      <c r="D173" s="458"/>
      <c r="E173" s="458"/>
      <c r="F173" s="458"/>
      <c r="G173" s="458"/>
      <c r="H173" s="458"/>
      <c r="I173" s="150">
        <v>154</v>
      </c>
      <c r="J173" s="162">
        <v>1127</v>
      </c>
      <c r="K173" s="163">
        <v>887</v>
      </c>
      <c r="L173" s="161">
        <f t="shared" si="5"/>
        <v>78.70452528837622</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1903</v>
      </c>
      <c r="K175" s="151">
        <f>SUM(K176:K182)</f>
        <v>1528</v>
      </c>
      <c r="L175" s="161">
        <f t="shared" si="5"/>
        <v>80.29427220178665</v>
      </c>
    </row>
    <row r="176" spans="2:12" ht="14.25">
      <c r="B176" s="153">
        <v>2421</v>
      </c>
      <c r="C176" s="457" t="s">
        <v>1711</v>
      </c>
      <c r="D176" s="458"/>
      <c r="E176" s="458"/>
      <c r="F176" s="458"/>
      <c r="G176" s="458"/>
      <c r="H176" s="458"/>
      <c r="I176" s="150">
        <v>157</v>
      </c>
      <c r="J176" s="162">
        <v>1152</v>
      </c>
      <c r="K176" s="163">
        <v>1152</v>
      </c>
      <c r="L176" s="161">
        <f t="shared" si="5"/>
        <v>100</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c r="K179" s="163"/>
      <c r="L179" s="161" t="str">
        <f t="shared" si="5"/>
        <v>-</v>
      </c>
    </row>
    <row r="180" spans="2:12" ht="14.25">
      <c r="B180" s="153">
        <v>2425</v>
      </c>
      <c r="C180" s="457" t="s">
        <v>1713</v>
      </c>
      <c r="D180" s="458"/>
      <c r="E180" s="458"/>
      <c r="F180" s="458"/>
      <c r="G180" s="458"/>
      <c r="H180" s="458"/>
      <c r="I180" s="150">
        <v>161</v>
      </c>
      <c r="J180" s="162">
        <v>751</v>
      </c>
      <c r="K180" s="163">
        <v>376</v>
      </c>
      <c r="L180" s="161">
        <f t="shared" si="5"/>
        <v>50.06657789613848</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191</v>
      </c>
      <c r="L209" s="161" t="str">
        <f t="shared" si="6"/>
        <v>-</v>
      </c>
    </row>
    <row r="210" spans="2:12" ht="14.25">
      <c r="B210" s="153">
        <v>291</v>
      </c>
      <c r="C210" s="457" t="s">
        <v>773</v>
      </c>
      <c r="D210" s="458"/>
      <c r="E210" s="458"/>
      <c r="F210" s="458"/>
      <c r="G210" s="458"/>
      <c r="H210" s="458"/>
      <c r="I210" s="150">
        <v>191</v>
      </c>
      <c r="J210" s="162"/>
      <c r="K210" s="163">
        <v>191</v>
      </c>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13987</v>
      </c>
      <c r="K214" s="151">
        <f>K215+K218-K219</f>
        <v>10724</v>
      </c>
      <c r="L214" s="161">
        <f t="shared" si="6"/>
        <v>76.671194680775</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13987</v>
      </c>
      <c r="K218" s="163">
        <v>10724</v>
      </c>
      <c r="L218" s="161">
        <f t="shared" si="6"/>
        <v>76.671194680775</v>
      </c>
    </row>
    <row r="219" spans="2:12" ht="14.25">
      <c r="B219" s="156">
        <v>5222</v>
      </c>
      <c r="C219" s="463" t="s">
        <v>782</v>
      </c>
      <c r="D219" s="464"/>
      <c r="E219" s="464"/>
      <c r="F219" s="464"/>
      <c r="G219" s="464"/>
      <c r="H219" s="464"/>
      <c r="I219" s="157">
        <v>200</v>
      </c>
      <c r="J219" s="164"/>
      <c r="K219" s="165"/>
      <c r="L219" s="166" t="str">
        <f t="shared" si="6"/>
        <v>-</v>
      </c>
    </row>
    <row r="220" spans="2:12" s="27" customFormat="1" ht="12.75">
      <c r="B220" s="466" t="s">
        <v>783</v>
      </c>
      <c r="C220" s="467"/>
      <c r="D220" s="467"/>
      <c r="E220" s="467"/>
      <c r="F220" s="467"/>
      <c r="G220" s="467"/>
      <c r="H220" s="467"/>
      <c r="I220" s="467"/>
      <c r="J220" s="467"/>
      <c r="K220" s="467"/>
      <c r="L220" s="468"/>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MIHAEL SEČEN</v>
      </c>
      <c r="E226" s="447"/>
      <c r="F226" s="447"/>
      <c r="G226" s="447"/>
      <c r="H226" s="447"/>
      <c r="I226" s="173"/>
      <c r="J226" s="415"/>
      <c r="K226" s="415"/>
      <c r="L226" s="415"/>
    </row>
    <row r="227" spans="2:12" ht="15" thickBot="1">
      <c r="B227" s="386" t="s">
        <v>2870</v>
      </c>
      <c r="C227" s="386"/>
      <c r="D227" s="175" t="str">
        <f>IF(RefStr!O4=1,IF(RefStr!D41&lt;&gt;"",RefStr!D41,""),"")</f>
        <v>26.02.2019.</v>
      </c>
      <c r="E227" s="176"/>
      <c r="F227" s="176"/>
      <c r="G227" s="176"/>
      <c r="H227" s="177"/>
      <c r="I227" s="178"/>
      <c r="J227" s="178"/>
      <c r="K227" s="179"/>
      <c r="L227" s="178"/>
    </row>
    <row r="228" spans="2:12" ht="15" thickBot="1">
      <c r="B228" s="398" t="s">
        <v>1649</v>
      </c>
      <c r="C228" s="398"/>
      <c r="D228" s="447" t="str">
        <f>IF(RefStr!O4=1,IF(RefStr!D43&lt;&gt;"",RefStr!D43,""),"")</f>
        <v>LILJANA SRDOČ</v>
      </c>
      <c r="E228" s="447"/>
      <c r="F228" s="447"/>
      <c r="G228" s="447"/>
      <c r="H228" s="171"/>
      <c r="I228" s="171"/>
      <c r="J228" s="171"/>
      <c r="K228" s="171"/>
      <c r="L228" s="171"/>
    </row>
    <row r="229" spans="2:12" ht="15" thickBot="1">
      <c r="B229" s="386" t="s">
        <v>1650</v>
      </c>
      <c r="C229" s="386"/>
      <c r="D229" s="445" t="str">
        <f>IF(RefStr!O4=1,IF(RefStr!D45&lt;&gt;"",RefStr!D45,""),"")</f>
        <v>051206600</v>
      </c>
      <c r="E229" s="445"/>
      <c r="F229" s="171"/>
      <c r="G229" s="180"/>
      <c r="H229" s="180"/>
      <c r="I229" s="180"/>
      <c r="J229" s="180"/>
      <c r="K229" s="180"/>
      <c r="L229" s="180"/>
    </row>
    <row r="230" spans="2:12" ht="15" thickBot="1">
      <c r="B230" s="386" t="s">
        <v>41</v>
      </c>
      <c r="C230" s="386"/>
      <c r="D230" s="446" t="str">
        <f>IF(RefStr!O4=1,IF(RefStr!D47&lt;&gt;"",RefStr!D47,""),"")</f>
        <v>051206570</v>
      </c>
      <c r="E230" s="446"/>
      <c r="F230" s="181"/>
      <c r="G230" s="181"/>
      <c r="H230" s="181"/>
      <c r="I230" s="181"/>
      <c r="J230" s="181"/>
      <c r="K230" s="180"/>
      <c r="L230" s="180"/>
    </row>
    <row r="231" spans="2:12" ht="15" thickBot="1">
      <c r="B231" s="386" t="s">
        <v>1651</v>
      </c>
      <c r="C231" s="386"/>
      <c r="D231" s="431" t="str">
        <f>IF(RefStr!O4=1,IF(RefStr!D49&lt;&gt;"",RefStr!D49,""),"")</f>
        <v>liljana.srdoc@fina.hr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C144:H144"/>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169:H169"/>
    <mergeCell ref="C94:H94"/>
    <mergeCell ref="C88:H88"/>
    <mergeCell ref="C92:H92"/>
    <mergeCell ref="C103:H103"/>
    <mergeCell ref="C93:H93"/>
    <mergeCell ref="C91:H91"/>
    <mergeCell ref="C96:H96"/>
    <mergeCell ref="C97:H97"/>
    <mergeCell ref="C101:H101"/>
    <mergeCell ref="C162:H162"/>
    <mergeCell ref="C154:H154"/>
    <mergeCell ref="C134:H134"/>
    <mergeCell ref="C174:H174"/>
    <mergeCell ref="C170:H170"/>
    <mergeCell ref="C173:H173"/>
    <mergeCell ref="C172:H172"/>
    <mergeCell ref="C165:H165"/>
    <mergeCell ref="C171:H171"/>
    <mergeCell ref="C166:H166"/>
    <mergeCell ref="C180:H180"/>
    <mergeCell ref="C175:H175"/>
    <mergeCell ref="C178:H178"/>
    <mergeCell ref="C176:H176"/>
    <mergeCell ref="C179:H179"/>
    <mergeCell ref="C177:H177"/>
    <mergeCell ref="C137:H137"/>
    <mergeCell ref="C136:H136"/>
    <mergeCell ref="C135:H135"/>
    <mergeCell ref="C111:H111"/>
    <mergeCell ref="C89:H89"/>
    <mergeCell ref="C95:H95"/>
    <mergeCell ref="C109:H109"/>
    <mergeCell ref="C104:H104"/>
    <mergeCell ref="C110:H110"/>
    <mergeCell ref="C112:H112"/>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Liljana Srdoc</cp:lastModifiedBy>
  <cp:lastPrinted>2019-02-27T06:51:01Z</cp:lastPrinted>
  <dcterms:created xsi:type="dcterms:W3CDTF">2001-11-21T09:32:18Z</dcterms:created>
  <dcterms:modified xsi:type="dcterms:W3CDTF">2019-02-27T06:51:03Z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